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8"/>
  <workbookPr/>
  <mc:AlternateContent xmlns:mc="http://schemas.openxmlformats.org/markup-compatibility/2006">
    <mc:Choice Requires="x15">
      <x15ac:absPath xmlns:x15ac="http://schemas.microsoft.com/office/spreadsheetml/2010/11/ac" url="/Users/samy/Desktop/MARGHICH/"/>
    </mc:Choice>
  </mc:AlternateContent>
  <xr:revisionPtr revIDLastSave="0" documentId="13_ncr:1_{C7F99B52-42E8-EF45-87E1-F1CDEFA35020}" xr6:coauthVersionLast="47" xr6:coauthVersionMax="47" xr10:uidLastSave="{00000000-0000-0000-0000-000000000000}"/>
  <bookViews>
    <workbookView xWindow="0" yWindow="500" windowWidth="28340" windowHeight="20100" tabRatio="500" xr2:uid="{00000000-000D-0000-FFFF-FFFF00000000}"/>
  </bookViews>
  <sheets>
    <sheet name="Start Here" sheetId="1" r:id="rId1"/>
    <sheet name="Dashboard" sheetId="2" r:id="rId2"/>
    <sheet name="Settings" sheetId="3" r:id="rId3"/>
    <sheet name="Properties" sheetId="4" r:id="rId4"/>
    <sheet name="Tenants" sheetId="5" r:id="rId5"/>
    <sheet name="Rent Log" sheetId="6" r:id="rId6"/>
    <sheet name="Tenant Ledger" sheetId="7" r:id="rId7"/>
    <sheet name="Expenses" sheetId="8" r:id="rId8"/>
    <sheet name="Mileage" sheetId="9" r:id="rId9"/>
    <sheet name="Schedule E" sheetId="10" r:id="rId10"/>
    <sheet name="Lists" sheetId="11" state="hidden" r:id="rId11"/>
  </sheets>
  <definedNames>
    <definedName name="_xlnm.Print_Titles" localSheetId="6">'Tenant Ledger'!$12:$12</definedName>
  </definedNames>
  <calcPr calcId="191029" fullCalcOnLoad="1"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D13" i="11" l="1"/>
  <c r="D12" i="11"/>
  <c r="D11" i="11"/>
  <c r="D10" i="11"/>
  <c r="D9" i="11"/>
  <c r="D8" i="11"/>
  <c r="D7" i="11"/>
  <c r="D6" i="11"/>
  <c r="D5" i="11"/>
  <c r="D4" i="11"/>
  <c r="M31" i="10"/>
  <c r="M30" i="10"/>
  <c r="D25" i="10"/>
  <c r="L24" i="10"/>
  <c r="K24" i="10"/>
  <c r="J24" i="10"/>
  <c r="I24" i="10"/>
  <c r="H24" i="10"/>
  <c r="J23" i="10"/>
  <c r="I23" i="10"/>
  <c r="H23" i="10"/>
  <c r="G23" i="10"/>
  <c r="F23" i="10"/>
  <c r="E23" i="10"/>
  <c r="D23" i="10"/>
  <c r="C23" i="10"/>
  <c r="E22" i="10"/>
  <c r="D22" i="10"/>
  <c r="L21" i="10"/>
  <c r="K21" i="10"/>
  <c r="J21" i="10"/>
  <c r="I21" i="10"/>
  <c r="K20" i="10"/>
  <c r="J20" i="10"/>
  <c r="I20" i="10"/>
  <c r="H20" i="10"/>
  <c r="G20" i="10"/>
  <c r="F20" i="10"/>
  <c r="E20" i="10"/>
  <c r="D20" i="10"/>
  <c r="F19" i="10"/>
  <c r="E19" i="10"/>
  <c r="D19" i="10"/>
  <c r="L18" i="10"/>
  <c r="K18" i="10"/>
  <c r="J18" i="10"/>
  <c r="L17" i="10"/>
  <c r="K17" i="10"/>
  <c r="J17" i="10"/>
  <c r="I17" i="10"/>
  <c r="H17" i="10"/>
  <c r="G17" i="10"/>
  <c r="F17" i="10"/>
  <c r="E17" i="10"/>
  <c r="J16" i="10"/>
  <c r="G16" i="10"/>
  <c r="F16" i="10"/>
  <c r="E16" i="10"/>
  <c r="D16" i="10"/>
  <c r="L15" i="10"/>
  <c r="K15" i="10"/>
  <c r="L14" i="10"/>
  <c r="K14" i="10"/>
  <c r="J14" i="10"/>
  <c r="I14" i="10"/>
  <c r="H14" i="10"/>
  <c r="G14" i="10"/>
  <c r="F14" i="10"/>
  <c r="K13" i="10"/>
  <c r="J13" i="10"/>
  <c r="H13" i="10"/>
  <c r="G13" i="10"/>
  <c r="F13" i="10"/>
  <c r="E13" i="10"/>
  <c r="D13" i="10"/>
  <c r="L12" i="10"/>
  <c r="C12" i="10"/>
  <c r="L11" i="10"/>
  <c r="K11" i="10"/>
  <c r="J11" i="10"/>
  <c r="I11" i="10"/>
  <c r="H11" i="10"/>
  <c r="G11" i="10"/>
  <c r="K10" i="10"/>
  <c r="J10" i="10"/>
  <c r="I10" i="10"/>
  <c r="H10" i="10"/>
  <c r="G10" i="10"/>
  <c r="F10" i="10"/>
  <c r="E10" i="10"/>
  <c r="D10" i="10"/>
  <c r="C10" i="10"/>
  <c r="J9" i="10"/>
  <c r="G9" i="10"/>
  <c r="D9" i="10"/>
  <c r="L7" i="10"/>
  <c r="K7" i="10"/>
  <c r="J7" i="10"/>
  <c r="I7" i="10"/>
  <c r="H7" i="10"/>
  <c r="K6" i="10"/>
  <c r="J6" i="10"/>
  <c r="I6" i="10"/>
  <c r="H6" i="10"/>
  <c r="G6" i="10"/>
  <c r="F6" i="10"/>
  <c r="E6" i="10"/>
  <c r="D6" i="10"/>
  <c r="C6" i="10"/>
  <c r="L5" i="10"/>
  <c r="K5" i="10"/>
  <c r="K12" i="10" s="1"/>
  <c r="J5" i="10"/>
  <c r="J15" i="10" s="1"/>
  <c r="I5" i="10"/>
  <c r="I18" i="10" s="1"/>
  <c r="H5" i="10"/>
  <c r="H21" i="10" s="1"/>
  <c r="G5" i="10"/>
  <c r="G24" i="10" s="1"/>
  <c r="F5" i="10"/>
  <c r="F11" i="10" s="1"/>
  <c r="E5" i="10"/>
  <c r="E14" i="10" s="1"/>
  <c r="D5" i="10"/>
  <c r="D17" i="10" s="1"/>
  <c r="C5" i="10"/>
  <c r="A4" i="10"/>
  <c r="G506" i="9"/>
  <c r="F506" i="9"/>
  <c r="G505" i="9"/>
  <c r="F505" i="9"/>
  <c r="G504" i="9"/>
  <c r="F504" i="9"/>
  <c r="G503" i="9"/>
  <c r="F503" i="9"/>
  <c r="G502" i="9"/>
  <c r="F502" i="9"/>
  <c r="G501" i="9"/>
  <c r="F501" i="9"/>
  <c r="G500" i="9"/>
  <c r="F500" i="9"/>
  <c r="G499" i="9"/>
  <c r="F499" i="9"/>
  <c r="G498" i="9"/>
  <c r="F498" i="9"/>
  <c r="G497" i="9"/>
  <c r="F497" i="9"/>
  <c r="G496" i="9"/>
  <c r="F496" i="9"/>
  <c r="G495" i="9"/>
  <c r="F495" i="9"/>
  <c r="G494" i="9"/>
  <c r="F494" i="9"/>
  <c r="G493" i="9"/>
  <c r="F493" i="9"/>
  <c r="G492" i="9"/>
  <c r="F492" i="9"/>
  <c r="G491" i="9"/>
  <c r="F491" i="9"/>
  <c r="G490" i="9"/>
  <c r="F490" i="9"/>
  <c r="G489" i="9"/>
  <c r="F489" i="9"/>
  <c r="G488" i="9"/>
  <c r="F488" i="9"/>
  <c r="G487" i="9"/>
  <c r="F487" i="9"/>
  <c r="G486" i="9"/>
  <c r="F486" i="9"/>
  <c r="G485" i="9"/>
  <c r="F485" i="9"/>
  <c r="G484" i="9"/>
  <c r="F484" i="9"/>
  <c r="G483" i="9"/>
  <c r="F483" i="9"/>
  <c r="G482" i="9"/>
  <c r="F482" i="9"/>
  <c r="G481" i="9"/>
  <c r="F481" i="9"/>
  <c r="G480" i="9"/>
  <c r="F480" i="9"/>
  <c r="G479" i="9"/>
  <c r="F479" i="9"/>
  <c r="G478" i="9"/>
  <c r="F478" i="9"/>
  <c r="G477" i="9"/>
  <c r="F477" i="9"/>
  <c r="G476" i="9"/>
  <c r="F476" i="9"/>
  <c r="G475" i="9"/>
  <c r="F475" i="9"/>
  <c r="G474" i="9"/>
  <c r="F474" i="9"/>
  <c r="G473" i="9"/>
  <c r="F473" i="9"/>
  <c r="G472" i="9"/>
  <c r="F472" i="9"/>
  <c r="G471" i="9"/>
  <c r="F471" i="9"/>
  <c r="G470" i="9"/>
  <c r="F470" i="9"/>
  <c r="G469" i="9"/>
  <c r="F469" i="9"/>
  <c r="G468" i="9"/>
  <c r="F468" i="9"/>
  <c r="G467" i="9"/>
  <c r="F467" i="9"/>
  <c r="G466" i="9"/>
  <c r="F466" i="9"/>
  <c r="G465" i="9"/>
  <c r="F465" i="9"/>
  <c r="G464" i="9"/>
  <c r="F464" i="9"/>
  <c r="G463" i="9"/>
  <c r="F463" i="9"/>
  <c r="G462" i="9"/>
  <c r="F462" i="9"/>
  <c r="G461" i="9"/>
  <c r="F461" i="9"/>
  <c r="G460" i="9"/>
  <c r="F460" i="9"/>
  <c r="G459" i="9"/>
  <c r="F459" i="9"/>
  <c r="G458" i="9"/>
  <c r="F458" i="9"/>
  <c r="G457" i="9"/>
  <c r="F457" i="9"/>
  <c r="G456" i="9"/>
  <c r="F456" i="9"/>
  <c r="G455" i="9"/>
  <c r="F455" i="9"/>
  <c r="G454" i="9"/>
  <c r="F454" i="9"/>
  <c r="G453" i="9"/>
  <c r="F453" i="9"/>
  <c r="G452" i="9"/>
  <c r="F452" i="9"/>
  <c r="G451" i="9"/>
  <c r="F451" i="9"/>
  <c r="G450" i="9"/>
  <c r="F450" i="9"/>
  <c r="G449" i="9"/>
  <c r="F449" i="9"/>
  <c r="G448" i="9"/>
  <c r="F448" i="9"/>
  <c r="G447" i="9"/>
  <c r="F447" i="9"/>
  <c r="G446" i="9"/>
  <c r="F446" i="9"/>
  <c r="G445" i="9"/>
  <c r="F445" i="9"/>
  <c r="G444" i="9"/>
  <c r="F444" i="9"/>
  <c r="G443" i="9"/>
  <c r="F443" i="9"/>
  <c r="G442" i="9"/>
  <c r="F442" i="9"/>
  <c r="G441" i="9"/>
  <c r="F441" i="9"/>
  <c r="G440" i="9"/>
  <c r="F440" i="9"/>
  <c r="G439" i="9"/>
  <c r="F439" i="9"/>
  <c r="G438" i="9"/>
  <c r="F438" i="9"/>
  <c r="G437" i="9"/>
  <c r="F437" i="9"/>
  <c r="G436" i="9"/>
  <c r="F436" i="9"/>
  <c r="G435" i="9"/>
  <c r="F435" i="9"/>
  <c r="G434" i="9"/>
  <c r="F434" i="9"/>
  <c r="G433" i="9"/>
  <c r="F433" i="9"/>
  <c r="G432" i="9"/>
  <c r="F432" i="9"/>
  <c r="G431" i="9"/>
  <c r="F431" i="9"/>
  <c r="G430" i="9"/>
  <c r="F430" i="9"/>
  <c r="G429" i="9"/>
  <c r="F429" i="9"/>
  <c r="G428" i="9"/>
  <c r="F428" i="9"/>
  <c r="G427" i="9"/>
  <c r="F427" i="9"/>
  <c r="G426" i="9"/>
  <c r="F426" i="9"/>
  <c r="G425" i="9"/>
  <c r="F425" i="9"/>
  <c r="G424" i="9"/>
  <c r="F424" i="9"/>
  <c r="G423" i="9"/>
  <c r="F423" i="9"/>
  <c r="G422" i="9"/>
  <c r="F422" i="9"/>
  <c r="G421" i="9"/>
  <c r="F421" i="9"/>
  <c r="G420" i="9"/>
  <c r="F420" i="9"/>
  <c r="G419" i="9"/>
  <c r="F419" i="9"/>
  <c r="G418" i="9"/>
  <c r="F418" i="9"/>
  <c r="G417" i="9"/>
  <c r="F417" i="9"/>
  <c r="G416" i="9"/>
  <c r="F416" i="9"/>
  <c r="G415" i="9"/>
  <c r="F415" i="9"/>
  <c r="G414" i="9"/>
  <c r="F414" i="9"/>
  <c r="G413" i="9"/>
  <c r="F413" i="9"/>
  <c r="G412" i="9"/>
  <c r="F412" i="9"/>
  <c r="G411" i="9"/>
  <c r="F411" i="9"/>
  <c r="G410" i="9"/>
  <c r="F410" i="9"/>
  <c r="G409" i="9"/>
  <c r="F409" i="9"/>
  <c r="G408" i="9"/>
  <c r="F408" i="9"/>
  <c r="G407" i="9"/>
  <c r="F407" i="9"/>
  <c r="G406" i="9"/>
  <c r="F406" i="9"/>
  <c r="G405" i="9"/>
  <c r="F405" i="9"/>
  <c r="G404" i="9"/>
  <c r="F404" i="9"/>
  <c r="G403" i="9"/>
  <c r="F403" i="9"/>
  <c r="G402" i="9"/>
  <c r="F402" i="9"/>
  <c r="G401" i="9"/>
  <c r="F401" i="9"/>
  <c r="G400" i="9"/>
  <c r="F400" i="9"/>
  <c r="G399" i="9"/>
  <c r="F399" i="9"/>
  <c r="G398" i="9"/>
  <c r="F398" i="9"/>
  <c r="G397" i="9"/>
  <c r="F397" i="9"/>
  <c r="G396" i="9"/>
  <c r="F396" i="9"/>
  <c r="G395" i="9"/>
  <c r="F395" i="9"/>
  <c r="G394" i="9"/>
  <c r="F394" i="9"/>
  <c r="G393" i="9"/>
  <c r="F393" i="9"/>
  <c r="G392" i="9"/>
  <c r="F392" i="9"/>
  <c r="G391" i="9"/>
  <c r="F391" i="9"/>
  <c r="G390" i="9"/>
  <c r="F390" i="9"/>
  <c r="G389" i="9"/>
  <c r="F389" i="9"/>
  <c r="G388" i="9"/>
  <c r="F388" i="9"/>
  <c r="G387" i="9"/>
  <c r="F387" i="9"/>
  <c r="G386" i="9"/>
  <c r="F386" i="9"/>
  <c r="G385" i="9"/>
  <c r="F385" i="9"/>
  <c r="G384" i="9"/>
  <c r="F384" i="9"/>
  <c r="G383" i="9"/>
  <c r="F383" i="9"/>
  <c r="G382" i="9"/>
  <c r="F382" i="9"/>
  <c r="G381" i="9"/>
  <c r="F381" i="9"/>
  <c r="G380" i="9"/>
  <c r="F380" i="9"/>
  <c r="G379" i="9"/>
  <c r="F379" i="9"/>
  <c r="G378" i="9"/>
  <c r="F378" i="9"/>
  <c r="G377" i="9"/>
  <c r="F377" i="9"/>
  <c r="G376" i="9"/>
  <c r="F376" i="9"/>
  <c r="G375" i="9"/>
  <c r="F375" i="9"/>
  <c r="G374" i="9"/>
  <c r="F374" i="9"/>
  <c r="G373" i="9"/>
  <c r="F373" i="9"/>
  <c r="G372" i="9"/>
  <c r="F372" i="9"/>
  <c r="G371" i="9"/>
  <c r="F371" i="9"/>
  <c r="G370" i="9"/>
  <c r="F370" i="9"/>
  <c r="G369" i="9"/>
  <c r="F369" i="9"/>
  <c r="G368" i="9"/>
  <c r="F368" i="9"/>
  <c r="G367" i="9"/>
  <c r="F367" i="9"/>
  <c r="G366" i="9"/>
  <c r="F366" i="9"/>
  <c r="G365" i="9"/>
  <c r="F365" i="9"/>
  <c r="G364" i="9"/>
  <c r="F364" i="9"/>
  <c r="G363" i="9"/>
  <c r="F363" i="9"/>
  <c r="G362" i="9"/>
  <c r="F362" i="9"/>
  <c r="G361" i="9"/>
  <c r="F361" i="9"/>
  <c r="G360" i="9"/>
  <c r="F360" i="9"/>
  <c r="G359" i="9"/>
  <c r="F359" i="9"/>
  <c r="G358" i="9"/>
  <c r="F358" i="9"/>
  <c r="G357" i="9"/>
  <c r="F357" i="9"/>
  <c r="G356" i="9"/>
  <c r="F356" i="9"/>
  <c r="G355" i="9"/>
  <c r="F355" i="9"/>
  <c r="G354" i="9"/>
  <c r="F354" i="9"/>
  <c r="G353" i="9"/>
  <c r="F353" i="9"/>
  <c r="G352" i="9"/>
  <c r="F352" i="9"/>
  <c r="G351" i="9"/>
  <c r="F351" i="9"/>
  <c r="G350" i="9"/>
  <c r="F350" i="9"/>
  <c r="G349" i="9"/>
  <c r="F349" i="9"/>
  <c r="G348" i="9"/>
  <c r="F348" i="9"/>
  <c r="G347" i="9"/>
  <c r="F347" i="9"/>
  <c r="G346" i="9"/>
  <c r="F346" i="9"/>
  <c r="G345" i="9"/>
  <c r="F345" i="9"/>
  <c r="G344" i="9"/>
  <c r="F344" i="9"/>
  <c r="G343" i="9"/>
  <c r="F343" i="9"/>
  <c r="G342" i="9"/>
  <c r="F342" i="9"/>
  <c r="G341" i="9"/>
  <c r="F341" i="9"/>
  <c r="G340" i="9"/>
  <c r="F340" i="9"/>
  <c r="G339" i="9"/>
  <c r="F339" i="9"/>
  <c r="G338" i="9"/>
  <c r="F338" i="9"/>
  <c r="G337" i="9"/>
  <c r="F337" i="9"/>
  <c r="G336" i="9"/>
  <c r="F336" i="9"/>
  <c r="G335" i="9"/>
  <c r="F335" i="9"/>
  <c r="G334" i="9"/>
  <c r="F334" i="9"/>
  <c r="G333" i="9"/>
  <c r="F333" i="9"/>
  <c r="G332" i="9"/>
  <c r="F332" i="9"/>
  <c r="G331" i="9"/>
  <c r="F331" i="9"/>
  <c r="G330" i="9"/>
  <c r="F330" i="9"/>
  <c r="G329" i="9"/>
  <c r="F329" i="9"/>
  <c r="G328" i="9"/>
  <c r="F328" i="9"/>
  <c r="G327" i="9"/>
  <c r="F327" i="9"/>
  <c r="G326" i="9"/>
  <c r="F326" i="9"/>
  <c r="G325" i="9"/>
  <c r="F325" i="9"/>
  <c r="G324" i="9"/>
  <c r="F324" i="9"/>
  <c r="G323" i="9"/>
  <c r="F323" i="9"/>
  <c r="G322" i="9"/>
  <c r="F322" i="9"/>
  <c r="G321" i="9"/>
  <c r="F321" i="9"/>
  <c r="G320" i="9"/>
  <c r="F320" i="9"/>
  <c r="G319" i="9"/>
  <c r="F319" i="9"/>
  <c r="G318" i="9"/>
  <c r="F318" i="9"/>
  <c r="G317" i="9"/>
  <c r="F317" i="9"/>
  <c r="G316" i="9"/>
  <c r="F316" i="9"/>
  <c r="G315" i="9"/>
  <c r="F315" i="9"/>
  <c r="G314" i="9"/>
  <c r="F314" i="9"/>
  <c r="G313" i="9"/>
  <c r="F313" i="9"/>
  <c r="G312" i="9"/>
  <c r="F312" i="9"/>
  <c r="G311" i="9"/>
  <c r="F311" i="9"/>
  <c r="G310" i="9"/>
  <c r="F310" i="9"/>
  <c r="G309" i="9"/>
  <c r="F309" i="9"/>
  <c r="G308" i="9"/>
  <c r="F308" i="9"/>
  <c r="G307" i="9"/>
  <c r="F307" i="9"/>
  <c r="G306" i="9"/>
  <c r="F306" i="9"/>
  <c r="G305" i="9"/>
  <c r="F305" i="9"/>
  <c r="G304" i="9"/>
  <c r="F304" i="9"/>
  <c r="G303" i="9"/>
  <c r="F303" i="9"/>
  <c r="G302" i="9"/>
  <c r="F302" i="9"/>
  <c r="G301" i="9"/>
  <c r="F301" i="9"/>
  <c r="G300" i="9"/>
  <c r="F300" i="9"/>
  <c r="G299" i="9"/>
  <c r="F299" i="9"/>
  <c r="G298" i="9"/>
  <c r="F298" i="9"/>
  <c r="G297" i="9"/>
  <c r="F297" i="9"/>
  <c r="G296" i="9"/>
  <c r="F296" i="9"/>
  <c r="G295" i="9"/>
  <c r="F295" i="9"/>
  <c r="G294" i="9"/>
  <c r="F294" i="9"/>
  <c r="G293" i="9"/>
  <c r="F293" i="9"/>
  <c r="G292" i="9"/>
  <c r="F292" i="9"/>
  <c r="G291" i="9"/>
  <c r="F291" i="9"/>
  <c r="G290" i="9"/>
  <c r="F290" i="9"/>
  <c r="G289" i="9"/>
  <c r="F289" i="9"/>
  <c r="G288" i="9"/>
  <c r="F288" i="9"/>
  <c r="G287" i="9"/>
  <c r="F287" i="9"/>
  <c r="G286" i="9"/>
  <c r="F286" i="9"/>
  <c r="G285" i="9"/>
  <c r="F285" i="9"/>
  <c r="G284" i="9"/>
  <c r="F284" i="9"/>
  <c r="G283" i="9"/>
  <c r="F283" i="9"/>
  <c r="G282" i="9"/>
  <c r="F282" i="9"/>
  <c r="G281" i="9"/>
  <c r="F281" i="9"/>
  <c r="G280" i="9"/>
  <c r="F280" i="9"/>
  <c r="G279" i="9"/>
  <c r="F279" i="9"/>
  <c r="G278" i="9"/>
  <c r="F278" i="9"/>
  <c r="G277" i="9"/>
  <c r="F277" i="9"/>
  <c r="G276" i="9"/>
  <c r="F276" i="9"/>
  <c r="G275" i="9"/>
  <c r="F275" i="9"/>
  <c r="G274" i="9"/>
  <c r="F274" i="9"/>
  <c r="G273" i="9"/>
  <c r="F273" i="9"/>
  <c r="G272" i="9"/>
  <c r="F272" i="9"/>
  <c r="G271" i="9"/>
  <c r="F271" i="9"/>
  <c r="G270" i="9"/>
  <c r="F270" i="9"/>
  <c r="G269" i="9"/>
  <c r="F269" i="9"/>
  <c r="G268" i="9"/>
  <c r="F268" i="9"/>
  <c r="G267" i="9"/>
  <c r="F267" i="9"/>
  <c r="G266" i="9"/>
  <c r="F266" i="9"/>
  <c r="G265" i="9"/>
  <c r="F265" i="9"/>
  <c r="G264" i="9"/>
  <c r="F264" i="9"/>
  <c r="G263" i="9"/>
  <c r="F263" i="9"/>
  <c r="G262" i="9"/>
  <c r="F262" i="9"/>
  <c r="G261" i="9"/>
  <c r="F261" i="9"/>
  <c r="G260" i="9"/>
  <c r="F260" i="9"/>
  <c r="G259" i="9"/>
  <c r="F259" i="9"/>
  <c r="G258" i="9"/>
  <c r="F258" i="9"/>
  <c r="G257" i="9"/>
  <c r="F257" i="9"/>
  <c r="G256" i="9"/>
  <c r="F256" i="9"/>
  <c r="G255" i="9"/>
  <c r="F255" i="9"/>
  <c r="G254" i="9"/>
  <c r="F254" i="9"/>
  <c r="G253" i="9"/>
  <c r="F253" i="9"/>
  <c r="G252" i="9"/>
  <c r="F252" i="9"/>
  <c r="G251" i="9"/>
  <c r="F251" i="9"/>
  <c r="G250" i="9"/>
  <c r="F250" i="9"/>
  <c r="G249" i="9"/>
  <c r="F249" i="9"/>
  <c r="G248" i="9"/>
  <c r="F248" i="9"/>
  <c r="G247" i="9"/>
  <c r="F247" i="9"/>
  <c r="G246" i="9"/>
  <c r="F246" i="9"/>
  <c r="G245" i="9"/>
  <c r="F245" i="9"/>
  <c r="G244" i="9"/>
  <c r="F244" i="9"/>
  <c r="G243" i="9"/>
  <c r="F243" i="9"/>
  <c r="G242" i="9"/>
  <c r="F242" i="9"/>
  <c r="G241" i="9"/>
  <c r="F241" i="9"/>
  <c r="G240" i="9"/>
  <c r="F240" i="9"/>
  <c r="G239" i="9"/>
  <c r="F239" i="9"/>
  <c r="G238" i="9"/>
  <c r="F238" i="9"/>
  <c r="G237" i="9"/>
  <c r="F237" i="9"/>
  <c r="G236" i="9"/>
  <c r="F236" i="9"/>
  <c r="G235" i="9"/>
  <c r="F235" i="9"/>
  <c r="G234" i="9"/>
  <c r="F234" i="9"/>
  <c r="G233" i="9"/>
  <c r="F233" i="9"/>
  <c r="G232" i="9"/>
  <c r="F232" i="9"/>
  <c r="G231" i="9"/>
  <c r="F231" i="9"/>
  <c r="G230" i="9"/>
  <c r="F230" i="9"/>
  <c r="G229" i="9"/>
  <c r="F229" i="9"/>
  <c r="G228" i="9"/>
  <c r="F228" i="9"/>
  <c r="G227" i="9"/>
  <c r="F227" i="9"/>
  <c r="G226" i="9"/>
  <c r="F226" i="9"/>
  <c r="G225" i="9"/>
  <c r="F225" i="9"/>
  <c r="G224" i="9"/>
  <c r="F224" i="9"/>
  <c r="G223" i="9"/>
  <c r="F223" i="9"/>
  <c r="G222" i="9"/>
  <c r="F222" i="9"/>
  <c r="G221" i="9"/>
  <c r="F221" i="9"/>
  <c r="G220" i="9"/>
  <c r="F220" i="9"/>
  <c r="G219" i="9"/>
  <c r="F219" i="9"/>
  <c r="G218" i="9"/>
  <c r="F218" i="9"/>
  <c r="G217" i="9"/>
  <c r="F217" i="9"/>
  <c r="G216" i="9"/>
  <c r="F216" i="9"/>
  <c r="G215" i="9"/>
  <c r="F215" i="9"/>
  <c r="G214" i="9"/>
  <c r="F214" i="9"/>
  <c r="G213" i="9"/>
  <c r="F213" i="9"/>
  <c r="G212" i="9"/>
  <c r="F212" i="9"/>
  <c r="G211" i="9"/>
  <c r="F211" i="9"/>
  <c r="G210" i="9"/>
  <c r="F210" i="9"/>
  <c r="G209" i="9"/>
  <c r="F209" i="9"/>
  <c r="G208" i="9"/>
  <c r="F208" i="9"/>
  <c r="G207" i="9"/>
  <c r="F207" i="9"/>
  <c r="G206" i="9"/>
  <c r="F206" i="9"/>
  <c r="G205" i="9"/>
  <c r="F205" i="9"/>
  <c r="G204" i="9"/>
  <c r="F204" i="9"/>
  <c r="G203" i="9"/>
  <c r="F203" i="9"/>
  <c r="G202" i="9"/>
  <c r="F202" i="9"/>
  <c r="G201" i="9"/>
  <c r="F201" i="9"/>
  <c r="G200" i="9"/>
  <c r="F200" i="9"/>
  <c r="G199" i="9"/>
  <c r="F199" i="9"/>
  <c r="G198" i="9"/>
  <c r="F198" i="9"/>
  <c r="G197" i="9"/>
  <c r="F197" i="9"/>
  <c r="G196" i="9"/>
  <c r="F196" i="9"/>
  <c r="G195" i="9"/>
  <c r="F195" i="9"/>
  <c r="G194" i="9"/>
  <c r="F194" i="9"/>
  <c r="G193" i="9"/>
  <c r="F193" i="9"/>
  <c r="G192" i="9"/>
  <c r="F192" i="9"/>
  <c r="G191" i="9"/>
  <c r="F191" i="9"/>
  <c r="G190" i="9"/>
  <c r="F190" i="9"/>
  <c r="G189" i="9"/>
  <c r="F189" i="9"/>
  <c r="G188" i="9"/>
  <c r="F188" i="9"/>
  <c r="G187" i="9"/>
  <c r="F187" i="9"/>
  <c r="G186" i="9"/>
  <c r="F186" i="9"/>
  <c r="G185" i="9"/>
  <c r="F185" i="9"/>
  <c r="G184" i="9"/>
  <c r="F184" i="9"/>
  <c r="G183" i="9"/>
  <c r="F183" i="9"/>
  <c r="G182" i="9"/>
  <c r="F182" i="9"/>
  <c r="G181" i="9"/>
  <c r="F181" i="9"/>
  <c r="G180" i="9"/>
  <c r="F180" i="9"/>
  <c r="G179" i="9"/>
  <c r="F179" i="9"/>
  <c r="G178" i="9"/>
  <c r="F178" i="9"/>
  <c r="G177" i="9"/>
  <c r="F177" i="9"/>
  <c r="G176" i="9"/>
  <c r="F176" i="9"/>
  <c r="G175" i="9"/>
  <c r="F175" i="9"/>
  <c r="G174" i="9"/>
  <c r="F174" i="9"/>
  <c r="G173" i="9"/>
  <c r="F173" i="9"/>
  <c r="G172" i="9"/>
  <c r="F172" i="9"/>
  <c r="G171" i="9"/>
  <c r="F171" i="9"/>
  <c r="G170" i="9"/>
  <c r="F170" i="9"/>
  <c r="G169" i="9"/>
  <c r="F169" i="9"/>
  <c r="G168" i="9"/>
  <c r="F168" i="9"/>
  <c r="G167" i="9"/>
  <c r="F167" i="9"/>
  <c r="G166" i="9"/>
  <c r="F166" i="9"/>
  <c r="G165" i="9"/>
  <c r="F165" i="9"/>
  <c r="G164" i="9"/>
  <c r="F164" i="9"/>
  <c r="G163" i="9"/>
  <c r="F163" i="9"/>
  <c r="G162" i="9"/>
  <c r="F162" i="9"/>
  <c r="G161" i="9"/>
  <c r="F161" i="9"/>
  <c r="G160" i="9"/>
  <c r="F160" i="9"/>
  <c r="G159" i="9"/>
  <c r="F159" i="9"/>
  <c r="G158" i="9"/>
  <c r="F158" i="9"/>
  <c r="G157" i="9"/>
  <c r="F157" i="9"/>
  <c r="G156" i="9"/>
  <c r="F156" i="9"/>
  <c r="G155" i="9"/>
  <c r="F155" i="9"/>
  <c r="G154" i="9"/>
  <c r="F154" i="9"/>
  <c r="G153" i="9"/>
  <c r="F153" i="9"/>
  <c r="G152" i="9"/>
  <c r="F152" i="9"/>
  <c r="G151" i="9"/>
  <c r="F151" i="9"/>
  <c r="G150" i="9"/>
  <c r="F150" i="9"/>
  <c r="G149" i="9"/>
  <c r="F149" i="9"/>
  <c r="G148" i="9"/>
  <c r="F148" i="9"/>
  <c r="G147" i="9"/>
  <c r="F147" i="9"/>
  <c r="G146" i="9"/>
  <c r="F146" i="9"/>
  <c r="G145" i="9"/>
  <c r="F145" i="9"/>
  <c r="G144" i="9"/>
  <c r="F144" i="9"/>
  <c r="G143" i="9"/>
  <c r="F143" i="9"/>
  <c r="G142" i="9"/>
  <c r="F142" i="9"/>
  <c r="G141" i="9"/>
  <c r="F141" i="9"/>
  <c r="G140" i="9"/>
  <c r="F140" i="9"/>
  <c r="G139" i="9"/>
  <c r="F139" i="9"/>
  <c r="G138" i="9"/>
  <c r="F138" i="9"/>
  <c r="G137" i="9"/>
  <c r="F137" i="9"/>
  <c r="G136" i="9"/>
  <c r="F136" i="9"/>
  <c r="G135" i="9"/>
  <c r="F135" i="9"/>
  <c r="G134" i="9"/>
  <c r="F134" i="9"/>
  <c r="G133" i="9"/>
  <c r="F133" i="9"/>
  <c r="G132" i="9"/>
  <c r="F132" i="9"/>
  <c r="G131" i="9"/>
  <c r="F131" i="9"/>
  <c r="G130" i="9"/>
  <c r="F130" i="9"/>
  <c r="G129" i="9"/>
  <c r="F129" i="9"/>
  <c r="G128" i="9"/>
  <c r="F128" i="9"/>
  <c r="G127" i="9"/>
  <c r="F127" i="9"/>
  <c r="G126" i="9"/>
  <c r="F126" i="9"/>
  <c r="G125" i="9"/>
  <c r="F125" i="9"/>
  <c r="G124" i="9"/>
  <c r="F124" i="9"/>
  <c r="G123" i="9"/>
  <c r="F123" i="9"/>
  <c r="G122" i="9"/>
  <c r="F122" i="9"/>
  <c r="G121" i="9"/>
  <c r="F121" i="9"/>
  <c r="G120" i="9"/>
  <c r="F120" i="9"/>
  <c r="G119" i="9"/>
  <c r="F119" i="9"/>
  <c r="G118" i="9"/>
  <c r="F118" i="9"/>
  <c r="G117" i="9"/>
  <c r="F117" i="9"/>
  <c r="G116" i="9"/>
  <c r="F116" i="9"/>
  <c r="G115" i="9"/>
  <c r="F115" i="9"/>
  <c r="G114" i="9"/>
  <c r="F114" i="9"/>
  <c r="G113" i="9"/>
  <c r="F113" i="9"/>
  <c r="G112" i="9"/>
  <c r="F112" i="9"/>
  <c r="G111" i="9"/>
  <c r="F111" i="9"/>
  <c r="G110" i="9"/>
  <c r="F110" i="9"/>
  <c r="G109" i="9"/>
  <c r="F109" i="9"/>
  <c r="G108" i="9"/>
  <c r="F108" i="9"/>
  <c r="G107" i="9"/>
  <c r="F107" i="9"/>
  <c r="G106" i="9"/>
  <c r="F106" i="9"/>
  <c r="G105" i="9"/>
  <c r="F105" i="9"/>
  <c r="G104" i="9"/>
  <c r="F104" i="9"/>
  <c r="G103" i="9"/>
  <c r="F103" i="9"/>
  <c r="G102" i="9"/>
  <c r="F102" i="9"/>
  <c r="G101" i="9"/>
  <c r="F101" i="9"/>
  <c r="G100" i="9"/>
  <c r="F100" i="9"/>
  <c r="G99" i="9"/>
  <c r="F99" i="9"/>
  <c r="G98" i="9"/>
  <c r="F98" i="9"/>
  <c r="G97" i="9"/>
  <c r="F97" i="9"/>
  <c r="G96" i="9"/>
  <c r="F96" i="9"/>
  <c r="G95" i="9"/>
  <c r="F95" i="9"/>
  <c r="G94" i="9"/>
  <c r="F94" i="9"/>
  <c r="G93" i="9"/>
  <c r="F93" i="9"/>
  <c r="G92" i="9"/>
  <c r="F92" i="9"/>
  <c r="G91" i="9"/>
  <c r="F91" i="9"/>
  <c r="G90" i="9"/>
  <c r="F90" i="9"/>
  <c r="G89" i="9"/>
  <c r="F89" i="9"/>
  <c r="G88" i="9"/>
  <c r="F88" i="9"/>
  <c r="G87" i="9"/>
  <c r="F87" i="9"/>
  <c r="G86" i="9"/>
  <c r="F86" i="9"/>
  <c r="G85" i="9"/>
  <c r="F85" i="9"/>
  <c r="G84" i="9"/>
  <c r="F84" i="9"/>
  <c r="G83" i="9"/>
  <c r="F83" i="9"/>
  <c r="G82" i="9"/>
  <c r="F82" i="9"/>
  <c r="G81" i="9"/>
  <c r="F81" i="9"/>
  <c r="G80" i="9"/>
  <c r="F80" i="9"/>
  <c r="G79" i="9"/>
  <c r="F79" i="9"/>
  <c r="G78" i="9"/>
  <c r="F78" i="9"/>
  <c r="G77" i="9"/>
  <c r="F77" i="9"/>
  <c r="G76" i="9"/>
  <c r="F76" i="9"/>
  <c r="G75" i="9"/>
  <c r="F75" i="9"/>
  <c r="G74" i="9"/>
  <c r="F74" i="9"/>
  <c r="G73" i="9"/>
  <c r="F73" i="9"/>
  <c r="G72" i="9"/>
  <c r="F72" i="9"/>
  <c r="G71" i="9"/>
  <c r="F71" i="9"/>
  <c r="G70" i="9"/>
  <c r="F70" i="9"/>
  <c r="G69" i="9"/>
  <c r="F69" i="9"/>
  <c r="G68" i="9"/>
  <c r="F68" i="9"/>
  <c r="G67" i="9"/>
  <c r="F67" i="9"/>
  <c r="G66" i="9"/>
  <c r="F66" i="9"/>
  <c r="G65" i="9"/>
  <c r="F65" i="9"/>
  <c r="G64" i="9"/>
  <c r="F64" i="9"/>
  <c r="G63" i="9"/>
  <c r="F63" i="9"/>
  <c r="G62" i="9"/>
  <c r="F62" i="9"/>
  <c r="G61" i="9"/>
  <c r="F61" i="9"/>
  <c r="G60" i="9"/>
  <c r="F60" i="9"/>
  <c r="G59" i="9"/>
  <c r="F59" i="9"/>
  <c r="G58" i="9"/>
  <c r="F58" i="9"/>
  <c r="G57" i="9"/>
  <c r="F57" i="9"/>
  <c r="G56" i="9"/>
  <c r="F56" i="9"/>
  <c r="G55" i="9"/>
  <c r="F55" i="9"/>
  <c r="G54" i="9"/>
  <c r="F54" i="9"/>
  <c r="G53" i="9"/>
  <c r="F53" i="9"/>
  <c r="G52" i="9"/>
  <c r="F52" i="9"/>
  <c r="G51" i="9"/>
  <c r="F51" i="9"/>
  <c r="G50" i="9"/>
  <c r="F50" i="9"/>
  <c r="G49" i="9"/>
  <c r="F49" i="9"/>
  <c r="G48" i="9"/>
  <c r="F48" i="9"/>
  <c r="G47" i="9"/>
  <c r="F47" i="9"/>
  <c r="G46" i="9"/>
  <c r="F46" i="9"/>
  <c r="G45" i="9"/>
  <c r="F45" i="9"/>
  <c r="G44" i="9"/>
  <c r="F44" i="9"/>
  <c r="G43" i="9"/>
  <c r="F43" i="9"/>
  <c r="G42" i="9"/>
  <c r="F42" i="9"/>
  <c r="G41" i="9"/>
  <c r="F41" i="9"/>
  <c r="G40" i="9"/>
  <c r="F40" i="9"/>
  <c r="G39" i="9"/>
  <c r="F39" i="9"/>
  <c r="G38" i="9"/>
  <c r="F38" i="9"/>
  <c r="G37" i="9"/>
  <c r="F37" i="9"/>
  <c r="G36" i="9"/>
  <c r="F36" i="9"/>
  <c r="G35" i="9"/>
  <c r="F35" i="9"/>
  <c r="G34" i="9"/>
  <c r="F34" i="9"/>
  <c r="G33" i="9"/>
  <c r="F33"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G18" i="9"/>
  <c r="F18" i="9"/>
  <c r="G17" i="9"/>
  <c r="F17" i="9"/>
  <c r="G16" i="9"/>
  <c r="F16" i="9"/>
  <c r="G15" i="9"/>
  <c r="F15" i="9"/>
  <c r="G14" i="9"/>
  <c r="F14" i="9"/>
  <c r="G13" i="9"/>
  <c r="F13" i="9"/>
  <c r="G12" i="9"/>
  <c r="F12" i="9"/>
  <c r="G11" i="9"/>
  <c r="F11" i="9"/>
  <c r="G10" i="9"/>
  <c r="F10" i="9"/>
  <c r="G9" i="9"/>
  <c r="F9" i="9"/>
  <c r="G8" i="9"/>
  <c r="C30" i="2" s="1"/>
  <c r="D33" i="2" s="1"/>
  <c r="F8" i="9"/>
  <c r="G7" i="9"/>
  <c r="F7" i="9"/>
  <c r="J506" i="8"/>
  <c r="I506" i="8"/>
  <c r="J505" i="8"/>
  <c r="I505" i="8"/>
  <c r="J504" i="8"/>
  <c r="I504" i="8"/>
  <c r="J503" i="8"/>
  <c r="I503" i="8"/>
  <c r="J502" i="8"/>
  <c r="I502" i="8"/>
  <c r="J501" i="8"/>
  <c r="I501" i="8"/>
  <c r="J500" i="8"/>
  <c r="I500" i="8"/>
  <c r="J499" i="8"/>
  <c r="I499" i="8"/>
  <c r="J498" i="8"/>
  <c r="I498" i="8"/>
  <c r="J497" i="8"/>
  <c r="I497" i="8"/>
  <c r="J496" i="8"/>
  <c r="I496" i="8"/>
  <c r="J495" i="8"/>
  <c r="I495" i="8"/>
  <c r="J494" i="8"/>
  <c r="I494" i="8"/>
  <c r="J493" i="8"/>
  <c r="I493" i="8"/>
  <c r="J492" i="8"/>
  <c r="I492" i="8"/>
  <c r="J491" i="8"/>
  <c r="I491" i="8"/>
  <c r="J490" i="8"/>
  <c r="I490" i="8"/>
  <c r="J489" i="8"/>
  <c r="I489" i="8"/>
  <c r="J488" i="8"/>
  <c r="I488" i="8"/>
  <c r="J487" i="8"/>
  <c r="I487" i="8"/>
  <c r="J486" i="8"/>
  <c r="I486" i="8"/>
  <c r="J485" i="8"/>
  <c r="I485" i="8"/>
  <c r="J484" i="8"/>
  <c r="I484" i="8"/>
  <c r="J483" i="8"/>
  <c r="I483" i="8"/>
  <c r="J482" i="8"/>
  <c r="I482" i="8"/>
  <c r="J481" i="8"/>
  <c r="I481" i="8"/>
  <c r="J480" i="8"/>
  <c r="I480" i="8"/>
  <c r="J479" i="8"/>
  <c r="I479" i="8"/>
  <c r="J478" i="8"/>
  <c r="I478" i="8"/>
  <c r="J477" i="8"/>
  <c r="I477" i="8"/>
  <c r="J476" i="8"/>
  <c r="I476" i="8"/>
  <c r="J475" i="8"/>
  <c r="I475" i="8"/>
  <c r="J474" i="8"/>
  <c r="I474" i="8"/>
  <c r="J473" i="8"/>
  <c r="I473" i="8"/>
  <c r="J472" i="8"/>
  <c r="I472" i="8"/>
  <c r="J471" i="8"/>
  <c r="I471" i="8"/>
  <c r="J470" i="8"/>
  <c r="I470" i="8"/>
  <c r="J469" i="8"/>
  <c r="I469" i="8"/>
  <c r="J468" i="8"/>
  <c r="I468" i="8"/>
  <c r="J467" i="8"/>
  <c r="I467" i="8"/>
  <c r="J466" i="8"/>
  <c r="I466" i="8"/>
  <c r="J465" i="8"/>
  <c r="I465" i="8"/>
  <c r="J464" i="8"/>
  <c r="I464" i="8"/>
  <c r="J463" i="8"/>
  <c r="I463" i="8"/>
  <c r="J462" i="8"/>
  <c r="I462" i="8"/>
  <c r="J461" i="8"/>
  <c r="I461" i="8"/>
  <c r="J460" i="8"/>
  <c r="I460" i="8"/>
  <c r="J459" i="8"/>
  <c r="I459" i="8"/>
  <c r="J458" i="8"/>
  <c r="I458" i="8"/>
  <c r="J457" i="8"/>
  <c r="I457" i="8"/>
  <c r="J456" i="8"/>
  <c r="I456" i="8"/>
  <c r="J455" i="8"/>
  <c r="I455" i="8"/>
  <c r="J454" i="8"/>
  <c r="I454" i="8"/>
  <c r="J453" i="8"/>
  <c r="I453" i="8"/>
  <c r="J452" i="8"/>
  <c r="I452" i="8"/>
  <c r="J451" i="8"/>
  <c r="I451" i="8"/>
  <c r="J450" i="8"/>
  <c r="I450" i="8"/>
  <c r="J449" i="8"/>
  <c r="I449" i="8"/>
  <c r="J448" i="8"/>
  <c r="I448" i="8"/>
  <c r="J447" i="8"/>
  <c r="I447" i="8"/>
  <c r="J446" i="8"/>
  <c r="I446" i="8"/>
  <c r="J445" i="8"/>
  <c r="I445" i="8"/>
  <c r="J444" i="8"/>
  <c r="I444" i="8"/>
  <c r="J443" i="8"/>
  <c r="I443" i="8"/>
  <c r="J442" i="8"/>
  <c r="I442" i="8"/>
  <c r="J441" i="8"/>
  <c r="I441" i="8"/>
  <c r="J440" i="8"/>
  <c r="I440" i="8"/>
  <c r="J439" i="8"/>
  <c r="I439" i="8"/>
  <c r="J438" i="8"/>
  <c r="I438" i="8"/>
  <c r="J437" i="8"/>
  <c r="I437" i="8"/>
  <c r="J436" i="8"/>
  <c r="I436" i="8"/>
  <c r="J435" i="8"/>
  <c r="I435" i="8"/>
  <c r="J434" i="8"/>
  <c r="I434" i="8"/>
  <c r="J433" i="8"/>
  <c r="I433" i="8"/>
  <c r="J432" i="8"/>
  <c r="I432" i="8"/>
  <c r="J431" i="8"/>
  <c r="I431" i="8"/>
  <c r="J430" i="8"/>
  <c r="I430" i="8"/>
  <c r="J429" i="8"/>
  <c r="I429" i="8"/>
  <c r="J428" i="8"/>
  <c r="I428" i="8"/>
  <c r="J427" i="8"/>
  <c r="I427" i="8"/>
  <c r="J426" i="8"/>
  <c r="I426" i="8"/>
  <c r="J425" i="8"/>
  <c r="I425" i="8"/>
  <c r="J424" i="8"/>
  <c r="I424" i="8"/>
  <c r="J423" i="8"/>
  <c r="I423" i="8"/>
  <c r="J422" i="8"/>
  <c r="I422" i="8"/>
  <c r="J421" i="8"/>
  <c r="I421" i="8"/>
  <c r="J420" i="8"/>
  <c r="I420" i="8"/>
  <c r="J419" i="8"/>
  <c r="I419" i="8"/>
  <c r="J418" i="8"/>
  <c r="I418" i="8"/>
  <c r="J417" i="8"/>
  <c r="I417" i="8"/>
  <c r="J416" i="8"/>
  <c r="I416" i="8"/>
  <c r="J415" i="8"/>
  <c r="I415" i="8"/>
  <c r="J414" i="8"/>
  <c r="I414" i="8"/>
  <c r="J413" i="8"/>
  <c r="I413" i="8"/>
  <c r="J412" i="8"/>
  <c r="I412" i="8"/>
  <c r="J411" i="8"/>
  <c r="I411" i="8"/>
  <c r="J410" i="8"/>
  <c r="I410" i="8"/>
  <c r="J409" i="8"/>
  <c r="I409" i="8"/>
  <c r="J408" i="8"/>
  <c r="I408" i="8"/>
  <c r="J407" i="8"/>
  <c r="I407" i="8"/>
  <c r="J406" i="8"/>
  <c r="I406" i="8"/>
  <c r="J405" i="8"/>
  <c r="I405" i="8"/>
  <c r="J404" i="8"/>
  <c r="I404" i="8"/>
  <c r="J403" i="8"/>
  <c r="I403" i="8"/>
  <c r="J402" i="8"/>
  <c r="I402" i="8"/>
  <c r="J401" i="8"/>
  <c r="I401" i="8"/>
  <c r="J400" i="8"/>
  <c r="I400" i="8"/>
  <c r="J399" i="8"/>
  <c r="I399" i="8"/>
  <c r="J398" i="8"/>
  <c r="I398" i="8"/>
  <c r="J397" i="8"/>
  <c r="I397" i="8"/>
  <c r="J396" i="8"/>
  <c r="I396" i="8"/>
  <c r="J395" i="8"/>
  <c r="I395" i="8"/>
  <c r="J394" i="8"/>
  <c r="I394" i="8"/>
  <c r="J393" i="8"/>
  <c r="I393" i="8"/>
  <c r="J392" i="8"/>
  <c r="I392" i="8"/>
  <c r="J391" i="8"/>
  <c r="I391" i="8"/>
  <c r="J390" i="8"/>
  <c r="I390" i="8"/>
  <c r="J389" i="8"/>
  <c r="I389" i="8"/>
  <c r="J388" i="8"/>
  <c r="I388" i="8"/>
  <c r="J387" i="8"/>
  <c r="I387" i="8"/>
  <c r="J386" i="8"/>
  <c r="I386" i="8"/>
  <c r="J385" i="8"/>
  <c r="I385" i="8"/>
  <c r="J384" i="8"/>
  <c r="I384" i="8"/>
  <c r="J383" i="8"/>
  <c r="I383" i="8"/>
  <c r="J382" i="8"/>
  <c r="I382" i="8"/>
  <c r="J381" i="8"/>
  <c r="I381" i="8"/>
  <c r="J380" i="8"/>
  <c r="I380" i="8"/>
  <c r="J379" i="8"/>
  <c r="I379" i="8"/>
  <c r="J378" i="8"/>
  <c r="I378" i="8"/>
  <c r="J377" i="8"/>
  <c r="I377" i="8"/>
  <c r="J376" i="8"/>
  <c r="I376" i="8"/>
  <c r="J375" i="8"/>
  <c r="I375" i="8"/>
  <c r="J374" i="8"/>
  <c r="I374" i="8"/>
  <c r="J373" i="8"/>
  <c r="I373" i="8"/>
  <c r="J372" i="8"/>
  <c r="I372" i="8"/>
  <c r="J371" i="8"/>
  <c r="I371" i="8"/>
  <c r="J370" i="8"/>
  <c r="I370" i="8"/>
  <c r="J369" i="8"/>
  <c r="I369" i="8"/>
  <c r="J368" i="8"/>
  <c r="I368" i="8"/>
  <c r="J367" i="8"/>
  <c r="I367" i="8"/>
  <c r="J366" i="8"/>
  <c r="I366" i="8"/>
  <c r="J365" i="8"/>
  <c r="I365" i="8"/>
  <c r="J364" i="8"/>
  <c r="I364" i="8"/>
  <c r="J363" i="8"/>
  <c r="I363" i="8"/>
  <c r="J362" i="8"/>
  <c r="I362" i="8"/>
  <c r="J361" i="8"/>
  <c r="I361" i="8"/>
  <c r="J360" i="8"/>
  <c r="I360" i="8"/>
  <c r="J359" i="8"/>
  <c r="I359" i="8"/>
  <c r="J358" i="8"/>
  <c r="I358" i="8"/>
  <c r="J357" i="8"/>
  <c r="I357" i="8"/>
  <c r="J356" i="8"/>
  <c r="I356" i="8"/>
  <c r="J355" i="8"/>
  <c r="I355" i="8"/>
  <c r="J354" i="8"/>
  <c r="I354" i="8"/>
  <c r="J353" i="8"/>
  <c r="I353" i="8"/>
  <c r="J352" i="8"/>
  <c r="I352" i="8"/>
  <c r="J351" i="8"/>
  <c r="I351" i="8"/>
  <c r="J350" i="8"/>
  <c r="I350" i="8"/>
  <c r="J349" i="8"/>
  <c r="I349" i="8"/>
  <c r="J348" i="8"/>
  <c r="I348" i="8"/>
  <c r="J347" i="8"/>
  <c r="I347" i="8"/>
  <c r="J346" i="8"/>
  <c r="I346" i="8"/>
  <c r="J345" i="8"/>
  <c r="I345" i="8"/>
  <c r="J344" i="8"/>
  <c r="I344" i="8"/>
  <c r="J343" i="8"/>
  <c r="I343" i="8"/>
  <c r="J342" i="8"/>
  <c r="I342" i="8"/>
  <c r="J341" i="8"/>
  <c r="I341" i="8"/>
  <c r="J340" i="8"/>
  <c r="I340" i="8"/>
  <c r="J339" i="8"/>
  <c r="I339" i="8"/>
  <c r="J338" i="8"/>
  <c r="I338" i="8"/>
  <c r="J337" i="8"/>
  <c r="I337" i="8"/>
  <c r="J336" i="8"/>
  <c r="I336" i="8"/>
  <c r="J335" i="8"/>
  <c r="I335" i="8"/>
  <c r="J334" i="8"/>
  <c r="I334" i="8"/>
  <c r="J333" i="8"/>
  <c r="I333" i="8"/>
  <c r="J332" i="8"/>
  <c r="I332" i="8"/>
  <c r="J331" i="8"/>
  <c r="I331" i="8"/>
  <c r="J330" i="8"/>
  <c r="I330" i="8"/>
  <c r="J329" i="8"/>
  <c r="I329" i="8"/>
  <c r="J328" i="8"/>
  <c r="I328" i="8"/>
  <c r="J327" i="8"/>
  <c r="I327" i="8"/>
  <c r="J326" i="8"/>
  <c r="I326" i="8"/>
  <c r="J325" i="8"/>
  <c r="I325" i="8"/>
  <c r="J324" i="8"/>
  <c r="I324" i="8"/>
  <c r="J323" i="8"/>
  <c r="I323" i="8"/>
  <c r="J322" i="8"/>
  <c r="I322" i="8"/>
  <c r="J321" i="8"/>
  <c r="I321" i="8"/>
  <c r="J320" i="8"/>
  <c r="I320" i="8"/>
  <c r="J319" i="8"/>
  <c r="I319" i="8"/>
  <c r="J318" i="8"/>
  <c r="I318" i="8"/>
  <c r="J317" i="8"/>
  <c r="I317" i="8"/>
  <c r="J316" i="8"/>
  <c r="I316" i="8"/>
  <c r="J315" i="8"/>
  <c r="I315" i="8"/>
  <c r="J314" i="8"/>
  <c r="I314" i="8"/>
  <c r="J313" i="8"/>
  <c r="I313" i="8"/>
  <c r="J312" i="8"/>
  <c r="I312" i="8"/>
  <c r="J311" i="8"/>
  <c r="I311" i="8"/>
  <c r="J310" i="8"/>
  <c r="I310" i="8"/>
  <c r="J309" i="8"/>
  <c r="I309" i="8"/>
  <c r="J308" i="8"/>
  <c r="I308" i="8"/>
  <c r="J307" i="8"/>
  <c r="I307" i="8"/>
  <c r="J306" i="8"/>
  <c r="I306" i="8"/>
  <c r="J305" i="8"/>
  <c r="I305" i="8"/>
  <c r="J304" i="8"/>
  <c r="I304" i="8"/>
  <c r="J303" i="8"/>
  <c r="I303" i="8"/>
  <c r="J302" i="8"/>
  <c r="I302" i="8"/>
  <c r="J301" i="8"/>
  <c r="I301" i="8"/>
  <c r="J300" i="8"/>
  <c r="I300" i="8"/>
  <c r="J299" i="8"/>
  <c r="I299" i="8"/>
  <c r="J298" i="8"/>
  <c r="I298" i="8"/>
  <c r="J297" i="8"/>
  <c r="I297" i="8"/>
  <c r="J296" i="8"/>
  <c r="I296" i="8"/>
  <c r="J295" i="8"/>
  <c r="I295" i="8"/>
  <c r="J294" i="8"/>
  <c r="I294" i="8"/>
  <c r="J293" i="8"/>
  <c r="I293" i="8"/>
  <c r="J292" i="8"/>
  <c r="I292" i="8"/>
  <c r="J291" i="8"/>
  <c r="I291" i="8"/>
  <c r="J290" i="8"/>
  <c r="I290" i="8"/>
  <c r="J289" i="8"/>
  <c r="I289" i="8"/>
  <c r="J288" i="8"/>
  <c r="I288" i="8"/>
  <c r="J287" i="8"/>
  <c r="I287" i="8"/>
  <c r="J286" i="8"/>
  <c r="I286" i="8"/>
  <c r="J285" i="8"/>
  <c r="I285" i="8"/>
  <c r="J284" i="8"/>
  <c r="I284" i="8"/>
  <c r="J283" i="8"/>
  <c r="I283" i="8"/>
  <c r="J282" i="8"/>
  <c r="I282" i="8"/>
  <c r="J281" i="8"/>
  <c r="I281" i="8"/>
  <c r="J280" i="8"/>
  <c r="I280" i="8"/>
  <c r="J279" i="8"/>
  <c r="I279" i="8"/>
  <c r="J278" i="8"/>
  <c r="I278" i="8"/>
  <c r="J277" i="8"/>
  <c r="I277" i="8"/>
  <c r="J276" i="8"/>
  <c r="I276" i="8"/>
  <c r="J275" i="8"/>
  <c r="I275" i="8"/>
  <c r="J274" i="8"/>
  <c r="I274" i="8"/>
  <c r="J273" i="8"/>
  <c r="I273" i="8"/>
  <c r="J272" i="8"/>
  <c r="I272" i="8"/>
  <c r="J271" i="8"/>
  <c r="I271" i="8"/>
  <c r="J270" i="8"/>
  <c r="I270" i="8"/>
  <c r="J269" i="8"/>
  <c r="I269" i="8"/>
  <c r="J268" i="8"/>
  <c r="I268" i="8"/>
  <c r="J267" i="8"/>
  <c r="I267" i="8"/>
  <c r="J266" i="8"/>
  <c r="I266" i="8"/>
  <c r="J265" i="8"/>
  <c r="I265" i="8"/>
  <c r="J264" i="8"/>
  <c r="I264" i="8"/>
  <c r="J263" i="8"/>
  <c r="I263" i="8"/>
  <c r="J262" i="8"/>
  <c r="I262" i="8"/>
  <c r="J261" i="8"/>
  <c r="I261" i="8"/>
  <c r="J260" i="8"/>
  <c r="I260" i="8"/>
  <c r="J259" i="8"/>
  <c r="I259" i="8"/>
  <c r="J258" i="8"/>
  <c r="I258" i="8"/>
  <c r="J257" i="8"/>
  <c r="I257" i="8"/>
  <c r="J256" i="8"/>
  <c r="I256" i="8"/>
  <c r="J255" i="8"/>
  <c r="I255" i="8"/>
  <c r="J254" i="8"/>
  <c r="I254" i="8"/>
  <c r="J253" i="8"/>
  <c r="I253" i="8"/>
  <c r="J252" i="8"/>
  <c r="I252" i="8"/>
  <c r="J251" i="8"/>
  <c r="I251" i="8"/>
  <c r="J250" i="8"/>
  <c r="I250" i="8"/>
  <c r="J249" i="8"/>
  <c r="I249" i="8"/>
  <c r="J248" i="8"/>
  <c r="I248" i="8"/>
  <c r="J247" i="8"/>
  <c r="I247" i="8"/>
  <c r="J246" i="8"/>
  <c r="I246" i="8"/>
  <c r="J245" i="8"/>
  <c r="I245" i="8"/>
  <c r="J244" i="8"/>
  <c r="I244" i="8"/>
  <c r="J243" i="8"/>
  <c r="I243" i="8"/>
  <c r="J242" i="8"/>
  <c r="I242" i="8"/>
  <c r="J241" i="8"/>
  <c r="I241" i="8"/>
  <c r="J240" i="8"/>
  <c r="I240" i="8"/>
  <c r="J239" i="8"/>
  <c r="I239" i="8"/>
  <c r="J238" i="8"/>
  <c r="I238" i="8"/>
  <c r="J237" i="8"/>
  <c r="I237" i="8"/>
  <c r="J236" i="8"/>
  <c r="I236" i="8"/>
  <c r="J235" i="8"/>
  <c r="I235" i="8"/>
  <c r="J234" i="8"/>
  <c r="I234" i="8"/>
  <c r="J233" i="8"/>
  <c r="I233" i="8"/>
  <c r="J232" i="8"/>
  <c r="I232" i="8"/>
  <c r="J231" i="8"/>
  <c r="I231" i="8"/>
  <c r="J230" i="8"/>
  <c r="I230" i="8"/>
  <c r="J229" i="8"/>
  <c r="I229" i="8"/>
  <c r="J228" i="8"/>
  <c r="I228" i="8"/>
  <c r="J227" i="8"/>
  <c r="I227" i="8"/>
  <c r="J226" i="8"/>
  <c r="I226" i="8"/>
  <c r="J225" i="8"/>
  <c r="I225" i="8"/>
  <c r="J224" i="8"/>
  <c r="I224" i="8"/>
  <c r="J223" i="8"/>
  <c r="I223" i="8"/>
  <c r="J222" i="8"/>
  <c r="I222" i="8"/>
  <c r="J221" i="8"/>
  <c r="I221" i="8"/>
  <c r="J220" i="8"/>
  <c r="I220" i="8"/>
  <c r="J219" i="8"/>
  <c r="I219" i="8"/>
  <c r="J218" i="8"/>
  <c r="I218" i="8"/>
  <c r="J217" i="8"/>
  <c r="I217" i="8"/>
  <c r="J216" i="8"/>
  <c r="I216" i="8"/>
  <c r="J215" i="8"/>
  <c r="I215" i="8"/>
  <c r="J214" i="8"/>
  <c r="I214" i="8"/>
  <c r="J213" i="8"/>
  <c r="I213" i="8"/>
  <c r="J212" i="8"/>
  <c r="I212" i="8"/>
  <c r="J211" i="8"/>
  <c r="I211" i="8"/>
  <c r="J210" i="8"/>
  <c r="I210" i="8"/>
  <c r="J209" i="8"/>
  <c r="I209" i="8"/>
  <c r="J208" i="8"/>
  <c r="I208" i="8"/>
  <c r="J207" i="8"/>
  <c r="I207" i="8"/>
  <c r="J206" i="8"/>
  <c r="I206" i="8"/>
  <c r="J205" i="8"/>
  <c r="I205" i="8"/>
  <c r="J204" i="8"/>
  <c r="I204" i="8"/>
  <c r="J203" i="8"/>
  <c r="I203" i="8"/>
  <c r="J202" i="8"/>
  <c r="I202" i="8"/>
  <c r="J201" i="8"/>
  <c r="I201" i="8"/>
  <c r="J200" i="8"/>
  <c r="I200" i="8"/>
  <c r="J199" i="8"/>
  <c r="I199" i="8"/>
  <c r="J198" i="8"/>
  <c r="I198" i="8"/>
  <c r="J197" i="8"/>
  <c r="I197" i="8"/>
  <c r="J196" i="8"/>
  <c r="I196" i="8"/>
  <c r="J195" i="8"/>
  <c r="I195" i="8"/>
  <c r="J194" i="8"/>
  <c r="I194" i="8"/>
  <c r="J193" i="8"/>
  <c r="I193" i="8"/>
  <c r="J192" i="8"/>
  <c r="I192" i="8"/>
  <c r="J191" i="8"/>
  <c r="I191" i="8"/>
  <c r="J190" i="8"/>
  <c r="I190" i="8"/>
  <c r="J189" i="8"/>
  <c r="I189" i="8"/>
  <c r="J188" i="8"/>
  <c r="I188" i="8"/>
  <c r="J187" i="8"/>
  <c r="I187" i="8"/>
  <c r="J186" i="8"/>
  <c r="I186" i="8"/>
  <c r="J185" i="8"/>
  <c r="I185" i="8"/>
  <c r="J184" i="8"/>
  <c r="I184" i="8"/>
  <c r="J183" i="8"/>
  <c r="I183" i="8"/>
  <c r="J182" i="8"/>
  <c r="I182" i="8"/>
  <c r="J181" i="8"/>
  <c r="I181" i="8"/>
  <c r="J180" i="8"/>
  <c r="I180" i="8"/>
  <c r="J179" i="8"/>
  <c r="I179" i="8"/>
  <c r="J178" i="8"/>
  <c r="I178" i="8"/>
  <c r="J177" i="8"/>
  <c r="I177" i="8"/>
  <c r="J176" i="8"/>
  <c r="I176" i="8"/>
  <c r="J175" i="8"/>
  <c r="I175" i="8"/>
  <c r="J174" i="8"/>
  <c r="I174" i="8"/>
  <c r="J173" i="8"/>
  <c r="I173" i="8"/>
  <c r="J172" i="8"/>
  <c r="I172" i="8"/>
  <c r="J171" i="8"/>
  <c r="I171" i="8"/>
  <c r="J170" i="8"/>
  <c r="I170" i="8"/>
  <c r="J169" i="8"/>
  <c r="I169" i="8"/>
  <c r="J168" i="8"/>
  <c r="I168" i="8"/>
  <c r="J167" i="8"/>
  <c r="I167" i="8"/>
  <c r="J166" i="8"/>
  <c r="I166" i="8"/>
  <c r="J165" i="8"/>
  <c r="I165" i="8"/>
  <c r="J164" i="8"/>
  <c r="I164" i="8"/>
  <c r="J163" i="8"/>
  <c r="I163" i="8"/>
  <c r="J162" i="8"/>
  <c r="I162" i="8"/>
  <c r="J161" i="8"/>
  <c r="I161" i="8"/>
  <c r="J160" i="8"/>
  <c r="I160" i="8"/>
  <c r="J159" i="8"/>
  <c r="I159" i="8"/>
  <c r="J158" i="8"/>
  <c r="I158" i="8"/>
  <c r="J157" i="8"/>
  <c r="I157" i="8"/>
  <c r="J156" i="8"/>
  <c r="I156" i="8"/>
  <c r="J155" i="8"/>
  <c r="I155" i="8"/>
  <c r="J154" i="8"/>
  <c r="I154" i="8"/>
  <c r="J153" i="8"/>
  <c r="I153" i="8"/>
  <c r="J152" i="8"/>
  <c r="I152" i="8"/>
  <c r="J151" i="8"/>
  <c r="I151" i="8"/>
  <c r="J150" i="8"/>
  <c r="I150" i="8"/>
  <c r="J149" i="8"/>
  <c r="I149" i="8"/>
  <c r="J148" i="8"/>
  <c r="I148" i="8"/>
  <c r="J147" i="8"/>
  <c r="I147" i="8"/>
  <c r="J146" i="8"/>
  <c r="I146" i="8"/>
  <c r="J145" i="8"/>
  <c r="I145" i="8"/>
  <c r="J144" i="8"/>
  <c r="I144" i="8"/>
  <c r="J143" i="8"/>
  <c r="I143" i="8"/>
  <c r="J142" i="8"/>
  <c r="I142" i="8"/>
  <c r="J141" i="8"/>
  <c r="I141" i="8"/>
  <c r="J140" i="8"/>
  <c r="I140" i="8"/>
  <c r="J139" i="8"/>
  <c r="I139" i="8"/>
  <c r="J138" i="8"/>
  <c r="I138" i="8"/>
  <c r="J137" i="8"/>
  <c r="I137" i="8"/>
  <c r="J136" i="8"/>
  <c r="I136" i="8"/>
  <c r="J135" i="8"/>
  <c r="I135" i="8"/>
  <c r="J134" i="8"/>
  <c r="I134" i="8"/>
  <c r="J133" i="8"/>
  <c r="I133" i="8"/>
  <c r="J132" i="8"/>
  <c r="I132" i="8"/>
  <c r="J131" i="8"/>
  <c r="I131" i="8"/>
  <c r="J130" i="8"/>
  <c r="I130" i="8"/>
  <c r="J129" i="8"/>
  <c r="I129" i="8"/>
  <c r="J128" i="8"/>
  <c r="I128" i="8"/>
  <c r="J127" i="8"/>
  <c r="I127" i="8"/>
  <c r="J126" i="8"/>
  <c r="I126" i="8"/>
  <c r="J125" i="8"/>
  <c r="I125" i="8"/>
  <c r="J124" i="8"/>
  <c r="I124" i="8"/>
  <c r="J123" i="8"/>
  <c r="I123" i="8"/>
  <c r="J122" i="8"/>
  <c r="I122" i="8"/>
  <c r="J121" i="8"/>
  <c r="I121" i="8"/>
  <c r="J120" i="8"/>
  <c r="I120" i="8"/>
  <c r="J119" i="8"/>
  <c r="I119" i="8"/>
  <c r="J118" i="8"/>
  <c r="I118" i="8"/>
  <c r="J117" i="8"/>
  <c r="I117" i="8"/>
  <c r="J116" i="8"/>
  <c r="I116" i="8"/>
  <c r="J115" i="8"/>
  <c r="I115" i="8"/>
  <c r="J114" i="8"/>
  <c r="I114" i="8"/>
  <c r="J113" i="8"/>
  <c r="I113" i="8"/>
  <c r="J112" i="8"/>
  <c r="I112" i="8"/>
  <c r="J111" i="8"/>
  <c r="I111" i="8"/>
  <c r="J110" i="8"/>
  <c r="I110" i="8"/>
  <c r="J109" i="8"/>
  <c r="I109" i="8"/>
  <c r="J108" i="8"/>
  <c r="I108" i="8"/>
  <c r="J107" i="8"/>
  <c r="I107" i="8"/>
  <c r="J106" i="8"/>
  <c r="I106" i="8"/>
  <c r="J105" i="8"/>
  <c r="I105" i="8"/>
  <c r="J104" i="8"/>
  <c r="I104" i="8"/>
  <c r="J103" i="8"/>
  <c r="I103" i="8"/>
  <c r="J102" i="8"/>
  <c r="I102" i="8"/>
  <c r="J101" i="8"/>
  <c r="I101" i="8"/>
  <c r="J100" i="8"/>
  <c r="I100" i="8"/>
  <c r="J99" i="8"/>
  <c r="I99" i="8"/>
  <c r="J98" i="8"/>
  <c r="I98" i="8"/>
  <c r="J97" i="8"/>
  <c r="I97" i="8"/>
  <c r="J96" i="8"/>
  <c r="I96" i="8"/>
  <c r="J95" i="8"/>
  <c r="I95" i="8"/>
  <c r="J94" i="8"/>
  <c r="I94" i="8"/>
  <c r="J93" i="8"/>
  <c r="I93" i="8"/>
  <c r="J92" i="8"/>
  <c r="I92" i="8"/>
  <c r="J91" i="8"/>
  <c r="I91" i="8"/>
  <c r="J90" i="8"/>
  <c r="I90" i="8"/>
  <c r="J89" i="8"/>
  <c r="I89" i="8"/>
  <c r="J88" i="8"/>
  <c r="I88" i="8"/>
  <c r="J87" i="8"/>
  <c r="I87" i="8"/>
  <c r="J86" i="8"/>
  <c r="I86" i="8"/>
  <c r="J85" i="8"/>
  <c r="I85" i="8"/>
  <c r="J84" i="8"/>
  <c r="I84" i="8"/>
  <c r="J83" i="8"/>
  <c r="I83" i="8"/>
  <c r="J82" i="8"/>
  <c r="I82" i="8"/>
  <c r="J81" i="8"/>
  <c r="I81" i="8"/>
  <c r="J80" i="8"/>
  <c r="I80" i="8"/>
  <c r="J79" i="8"/>
  <c r="I79" i="8"/>
  <c r="J78" i="8"/>
  <c r="I78" i="8"/>
  <c r="J77" i="8"/>
  <c r="I77" i="8"/>
  <c r="J76" i="8"/>
  <c r="I76" i="8"/>
  <c r="J75" i="8"/>
  <c r="I75" i="8"/>
  <c r="J74" i="8"/>
  <c r="I74" i="8"/>
  <c r="J73" i="8"/>
  <c r="I73" i="8"/>
  <c r="J72" i="8"/>
  <c r="I72" i="8"/>
  <c r="J71" i="8"/>
  <c r="I71" i="8"/>
  <c r="J70" i="8"/>
  <c r="I70" i="8"/>
  <c r="J69" i="8"/>
  <c r="I69" i="8"/>
  <c r="J68" i="8"/>
  <c r="I68" i="8"/>
  <c r="J67" i="8"/>
  <c r="I67" i="8"/>
  <c r="J66" i="8"/>
  <c r="I66" i="8"/>
  <c r="J65" i="8"/>
  <c r="I65" i="8"/>
  <c r="J64" i="8"/>
  <c r="I64" i="8"/>
  <c r="J63" i="8"/>
  <c r="I63" i="8"/>
  <c r="J62" i="8"/>
  <c r="I62" i="8"/>
  <c r="J61" i="8"/>
  <c r="I61" i="8"/>
  <c r="J60" i="8"/>
  <c r="I60" i="8"/>
  <c r="J59" i="8"/>
  <c r="I59" i="8"/>
  <c r="J58" i="8"/>
  <c r="I58" i="8"/>
  <c r="J57" i="8"/>
  <c r="I57" i="8"/>
  <c r="J56" i="8"/>
  <c r="I56" i="8"/>
  <c r="J55" i="8"/>
  <c r="I55" i="8"/>
  <c r="J54" i="8"/>
  <c r="I54" i="8"/>
  <c r="J53" i="8"/>
  <c r="I53" i="8"/>
  <c r="J52" i="8"/>
  <c r="I52" i="8"/>
  <c r="J51" i="8"/>
  <c r="I51" i="8"/>
  <c r="J50" i="8"/>
  <c r="I50" i="8"/>
  <c r="J49" i="8"/>
  <c r="I49" i="8"/>
  <c r="J48" i="8"/>
  <c r="I48" i="8"/>
  <c r="J47" i="8"/>
  <c r="I47" i="8"/>
  <c r="J46" i="8"/>
  <c r="I46" i="8"/>
  <c r="J45" i="8"/>
  <c r="I45" i="8"/>
  <c r="J44" i="8"/>
  <c r="I44" i="8"/>
  <c r="J43" i="8"/>
  <c r="I43" i="8"/>
  <c r="J42" i="8"/>
  <c r="I42" i="8"/>
  <c r="J41" i="8"/>
  <c r="I41" i="8"/>
  <c r="J40" i="8"/>
  <c r="I40" i="8"/>
  <c r="J39" i="8"/>
  <c r="I39" i="8"/>
  <c r="J38" i="8"/>
  <c r="I38" i="8"/>
  <c r="J37" i="8"/>
  <c r="I37" i="8"/>
  <c r="J36" i="8"/>
  <c r="I36" i="8"/>
  <c r="J35" i="8"/>
  <c r="I35" i="8"/>
  <c r="J34" i="8"/>
  <c r="I34" i="8"/>
  <c r="J33" i="8"/>
  <c r="I33" i="8"/>
  <c r="J32" i="8"/>
  <c r="I32" i="8"/>
  <c r="J31" i="8"/>
  <c r="I31" i="8"/>
  <c r="J30" i="8"/>
  <c r="I30" i="8"/>
  <c r="J29" i="8"/>
  <c r="I29" i="8"/>
  <c r="J28" i="8"/>
  <c r="I28" i="8"/>
  <c r="J27" i="8"/>
  <c r="I27" i="8"/>
  <c r="J26" i="8"/>
  <c r="I26" i="8"/>
  <c r="J25" i="8"/>
  <c r="I25" i="8"/>
  <c r="J24" i="8"/>
  <c r="I24" i="8"/>
  <c r="J23" i="8"/>
  <c r="I23" i="8"/>
  <c r="J22" i="8"/>
  <c r="I22" i="8"/>
  <c r="J21" i="8"/>
  <c r="I21" i="8"/>
  <c r="J20" i="8"/>
  <c r="I20" i="8"/>
  <c r="J19" i="8"/>
  <c r="I19" i="8"/>
  <c r="J18" i="8"/>
  <c r="I18" i="8"/>
  <c r="J17" i="8"/>
  <c r="I17" i="8"/>
  <c r="J16" i="8"/>
  <c r="I16" i="8"/>
  <c r="J15" i="8"/>
  <c r="I15" i="8"/>
  <c r="J14" i="8"/>
  <c r="I14" i="8"/>
  <c r="J13" i="8"/>
  <c r="I13" i="8"/>
  <c r="J12" i="8"/>
  <c r="C23" i="2" s="1"/>
  <c r="I12" i="8"/>
  <c r="J11" i="8"/>
  <c r="I11" i="8"/>
  <c r="J10" i="8"/>
  <c r="I10" i="8"/>
  <c r="J9" i="8"/>
  <c r="I9" i="8"/>
  <c r="J8" i="8"/>
  <c r="I8" i="8"/>
  <c r="J7" i="8"/>
  <c r="I7" i="8"/>
  <c r="C9" i="7"/>
  <c r="C8" i="7"/>
  <c r="G7" i="7"/>
  <c r="C7" i="7"/>
  <c r="C6" i="7"/>
  <c r="R506" i="6"/>
  <c r="Q506" i="6"/>
  <c r="P506" i="6"/>
  <c r="O506" i="6"/>
  <c r="N506" i="6"/>
  <c r="L506" i="6"/>
  <c r="K506" i="6"/>
  <c r="D506" i="6"/>
  <c r="C506" i="6"/>
  <c r="R505" i="6"/>
  <c r="Q505" i="6"/>
  <c r="P505" i="6"/>
  <c r="O505" i="6"/>
  <c r="N505" i="6"/>
  <c r="L505" i="6"/>
  <c r="K505" i="6"/>
  <c r="D505" i="6"/>
  <c r="C505" i="6"/>
  <c r="R504" i="6"/>
  <c r="Q504" i="6"/>
  <c r="P504" i="6"/>
  <c r="O504" i="6"/>
  <c r="N504" i="6"/>
  <c r="L504" i="6"/>
  <c r="K504" i="6"/>
  <c r="D504" i="6"/>
  <c r="C504" i="6"/>
  <c r="R503" i="6"/>
  <c r="Q503" i="6"/>
  <c r="P503" i="6"/>
  <c r="O503" i="6"/>
  <c r="N503" i="6"/>
  <c r="L503" i="6"/>
  <c r="K503" i="6"/>
  <c r="D503" i="6"/>
  <c r="C503" i="6"/>
  <c r="R502" i="6"/>
  <c r="Q502" i="6"/>
  <c r="P502" i="6"/>
  <c r="O502" i="6"/>
  <c r="N502" i="6"/>
  <c r="L502" i="6"/>
  <c r="K502" i="6"/>
  <c r="D502" i="6"/>
  <c r="C502" i="6"/>
  <c r="R501" i="6"/>
  <c r="Q501" i="6"/>
  <c r="P501" i="6"/>
  <c r="O501" i="6"/>
  <c r="N501" i="6"/>
  <c r="L501" i="6"/>
  <c r="K501" i="6"/>
  <c r="D501" i="6"/>
  <c r="C501" i="6"/>
  <c r="R500" i="6"/>
  <c r="Q500" i="6"/>
  <c r="P500" i="6"/>
  <c r="O500" i="6"/>
  <c r="N500" i="6"/>
  <c r="L500" i="6"/>
  <c r="K500" i="6"/>
  <c r="D500" i="6"/>
  <c r="C500" i="6"/>
  <c r="R499" i="6"/>
  <c r="Q499" i="6"/>
  <c r="P499" i="6"/>
  <c r="O499" i="6"/>
  <c r="N499" i="6"/>
  <c r="L499" i="6"/>
  <c r="K499" i="6"/>
  <c r="D499" i="6"/>
  <c r="C499" i="6"/>
  <c r="R498" i="6"/>
  <c r="Q498" i="6"/>
  <c r="P498" i="6"/>
  <c r="O498" i="6"/>
  <c r="N498" i="6"/>
  <c r="L498" i="6"/>
  <c r="K498" i="6"/>
  <c r="D498" i="6"/>
  <c r="C498" i="6"/>
  <c r="R497" i="6"/>
  <c r="Q497" i="6"/>
  <c r="P497" i="6"/>
  <c r="O497" i="6"/>
  <c r="N497" i="6"/>
  <c r="L497" i="6"/>
  <c r="K497" i="6"/>
  <c r="D497" i="6"/>
  <c r="C497" i="6"/>
  <c r="R496" i="6"/>
  <c r="Q496" i="6"/>
  <c r="P496" i="6"/>
  <c r="O496" i="6"/>
  <c r="N496" i="6"/>
  <c r="L496" i="6"/>
  <c r="K496" i="6"/>
  <c r="D496" i="6"/>
  <c r="C496" i="6"/>
  <c r="R495" i="6"/>
  <c r="Q495" i="6"/>
  <c r="P495" i="6"/>
  <c r="O495" i="6"/>
  <c r="N495" i="6"/>
  <c r="L495" i="6"/>
  <c r="K495" i="6"/>
  <c r="D495" i="6"/>
  <c r="C495" i="6"/>
  <c r="R494" i="6"/>
  <c r="Q494" i="6"/>
  <c r="P494" i="6"/>
  <c r="O494" i="6"/>
  <c r="N494" i="6"/>
  <c r="L494" i="6"/>
  <c r="K494" i="6"/>
  <c r="D494" i="6"/>
  <c r="C494" i="6"/>
  <c r="R493" i="6"/>
  <c r="Q493" i="6"/>
  <c r="P493" i="6"/>
  <c r="O493" i="6"/>
  <c r="N493" i="6"/>
  <c r="L493" i="6"/>
  <c r="K493" i="6"/>
  <c r="D493" i="6"/>
  <c r="C493" i="6"/>
  <c r="R492" i="6"/>
  <c r="Q492" i="6"/>
  <c r="P492" i="6"/>
  <c r="O492" i="6"/>
  <c r="N492" i="6"/>
  <c r="L492" i="6"/>
  <c r="K492" i="6"/>
  <c r="D492" i="6"/>
  <c r="C492" i="6"/>
  <c r="R491" i="6"/>
  <c r="Q491" i="6"/>
  <c r="P491" i="6"/>
  <c r="O491" i="6"/>
  <c r="N491" i="6"/>
  <c r="L491" i="6"/>
  <c r="K491" i="6"/>
  <c r="D491" i="6"/>
  <c r="C491" i="6"/>
  <c r="R490" i="6"/>
  <c r="Q490" i="6"/>
  <c r="P490" i="6"/>
  <c r="O490" i="6"/>
  <c r="N490" i="6"/>
  <c r="L490" i="6"/>
  <c r="K490" i="6"/>
  <c r="D490" i="6"/>
  <c r="C490" i="6"/>
  <c r="R489" i="6"/>
  <c r="Q489" i="6"/>
  <c r="P489" i="6"/>
  <c r="O489" i="6"/>
  <c r="N489" i="6"/>
  <c r="L489" i="6"/>
  <c r="K489" i="6"/>
  <c r="D489" i="6"/>
  <c r="C489" i="6"/>
  <c r="R488" i="6"/>
  <c r="Q488" i="6"/>
  <c r="P488" i="6"/>
  <c r="O488" i="6"/>
  <c r="N488" i="6"/>
  <c r="L488" i="6"/>
  <c r="K488" i="6"/>
  <c r="D488" i="6"/>
  <c r="C488" i="6"/>
  <c r="R487" i="6"/>
  <c r="Q487" i="6"/>
  <c r="P487" i="6"/>
  <c r="O487" i="6"/>
  <c r="N487" i="6"/>
  <c r="L487" i="6"/>
  <c r="K487" i="6"/>
  <c r="D487" i="6"/>
  <c r="C487" i="6"/>
  <c r="R486" i="6"/>
  <c r="Q486" i="6"/>
  <c r="P486" i="6"/>
  <c r="O486" i="6"/>
  <c r="N486" i="6"/>
  <c r="L486" i="6"/>
  <c r="K486" i="6"/>
  <c r="D486" i="6"/>
  <c r="C486" i="6"/>
  <c r="R485" i="6"/>
  <c r="Q485" i="6"/>
  <c r="P485" i="6"/>
  <c r="O485" i="6"/>
  <c r="N485" i="6"/>
  <c r="L485" i="6"/>
  <c r="K485" i="6"/>
  <c r="D485" i="6"/>
  <c r="C485" i="6"/>
  <c r="R484" i="6"/>
  <c r="Q484" i="6"/>
  <c r="P484" i="6"/>
  <c r="O484" i="6"/>
  <c r="N484" i="6"/>
  <c r="L484" i="6"/>
  <c r="K484" i="6"/>
  <c r="D484" i="6"/>
  <c r="C484" i="6"/>
  <c r="R483" i="6"/>
  <c r="Q483" i="6"/>
  <c r="P483" i="6"/>
  <c r="O483" i="6"/>
  <c r="N483" i="6"/>
  <c r="L483" i="6"/>
  <c r="K483" i="6"/>
  <c r="D483" i="6"/>
  <c r="C483" i="6"/>
  <c r="R482" i="6"/>
  <c r="Q482" i="6"/>
  <c r="P482" i="6"/>
  <c r="O482" i="6"/>
  <c r="N482" i="6"/>
  <c r="L482" i="6"/>
  <c r="K482" i="6"/>
  <c r="D482" i="6"/>
  <c r="C482" i="6"/>
  <c r="R481" i="6"/>
  <c r="Q481" i="6"/>
  <c r="P481" i="6"/>
  <c r="O481" i="6"/>
  <c r="N481" i="6"/>
  <c r="L481" i="6"/>
  <c r="K481" i="6"/>
  <c r="D481" i="6"/>
  <c r="C481" i="6"/>
  <c r="R480" i="6"/>
  <c r="Q480" i="6"/>
  <c r="P480" i="6"/>
  <c r="O480" i="6"/>
  <c r="N480" i="6"/>
  <c r="L480" i="6"/>
  <c r="K480" i="6"/>
  <c r="D480" i="6"/>
  <c r="C480" i="6"/>
  <c r="R479" i="6"/>
  <c r="Q479" i="6"/>
  <c r="P479" i="6"/>
  <c r="O479" i="6"/>
  <c r="N479" i="6"/>
  <c r="L479" i="6"/>
  <c r="K479" i="6"/>
  <c r="D479" i="6"/>
  <c r="C479" i="6"/>
  <c r="R478" i="6"/>
  <c r="Q478" i="6"/>
  <c r="P478" i="6"/>
  <c r="O478" i="6"/>
  <c r="N478" i="6"/>
  <c r="L478" i="6"/>
  <c r="K478" i="6"/>
  <c r="D478" i="6"/>
  <c r="C478" i="6"/>
  <c r="R477" i="6"/>
  <c r="Q477" i="6"/>
  <c r="P477" i="6"/>
  <c r="O477" i="6"/>
  <c r="N477" i="6"/>
  <c r="L477" i="6"/>
  <c r="K477" i="6"/>
  <c r="D477" i="6"/>
  <c r="C477" i="6"/>
  <c r="R476" i="6"/>
  <c r="Q476" i="6"/>
  <c r="P476" i="6"/>
  <c r="O476" i="6"/>
  <c r="N476" i="6"/>
  <c r="L476" i="6"/>
  <c r="K476" i="6"/>
  <c r="D476" i="6"/>
  <c r="C476" i="6"/>
  <c r="R475" i="6"/>
  <c r="Q475" i="6"/>
  <c r="P475" i="6"/>
  <c r="O475" i="6"/>
  <c r="N475" i="6"/>
  <c r="L475" i="6"/>
  <c r="K475" i="6"/>
  <c r="D475" i="6"/>
  <c r="C475" i="6"/>
  <c r="R474" i="6"/>
  <c r="Q474" i="6"/>
  <c r="P474" i="6"/>
  <c r="O474" i="6"/>
  <c r="N474" i="6"/>
  <c r="L474" i="6"/>
  <c r="K474" i="6"/>
  <c r="D474" i="6"/>
  <c r="C474" i="6"/>
  <c r="R473" i="6"/>
  <c r="Q473" i="6"/>
  <c r="P473" i="6"/>
  <c r="O473" i="6"/>
  <c r="N473" i="6"/>
  <c r="L473" i="6"/>
  <c r="K473" i="6"/>
  <c r="D473" i="6"/>
  <c r="C473" i="6"/>
  <c r="R472" i="6"/>
  <c r="Q472" i="6"/>
  <c r="P472" i="6"/>
  <c r="O472" i="6"/>
  <c r="N472" i="6"/>
  <c r="L472" i="6"/>
  <c r="K472" i="6"/>
  <c r="D472" i="6"/>
  <c r="C472" i="6"/>
  <c r="R471" i="6"/>
  <c r="Q471" i="6"/>
  <c r="P471" i="6"/>
  <c r="O471" i="6"/>
  <c r="N471" i="6"/>
  <c r="L471" i="6"/>
  <c r="K471" i="6"/>
  <c r="D471" i="6"/>
  <c r="C471" i="6"/>
  <c r="R470" i="6"/>
  <c r="Q470" i="6"/>
  <c r="P470" i="6"/>
  <c r="O470" i="6"/>
  <c r="N470" i="6"/>
  <c r="L470" i="6"/>
  <c r="K470" i="6"/>
  <c r="D470" i="6"/>
  <c r="C470" i="6"/>
  <c r="R469" i="6"/>
  <c r="Q469" i="6"/>
  <c r="P469" i="6"/>
  <c r="O469" i="6"/>
  <c r="N469" i="6"/>
  <c r="L469" i="6"/>
  <c r="K469" i="6"/>
  <c r="D469" i="6"/>
  <c r="C469" i="6"/>
  <c r="R468" i="6"/>
  <c r="Q468" i="6"/>
  <c r="P468" i="6"/>
  <c r="O468" i="6"/>
  <c r="N468" i="6"/>
  <c r="L468" i="6"/>
  <c r="K468" i="6"/>
  <c r="D468" i="6"/>
  <c r="C468" i="6"/>
  <c r="R467" i="6"/>
  <c r="Q467" i="6"/>
  <c r="P467" i="6"/>
  <c r="O467" i="6"/>
  <c r="N467" i="6"/>
  <c r="L467" i="6"/>
  <c r="K467" i="6"/>
  <c r="D467" i="6"/>
  <c r="C467" i="6"/>
  <c r="R466" i="6"/>
  <c r="Q466" i="6"/>
  <c r="P466" i="6"/>
  <c r="O466" i="6"/>
  <c r="N466" i="6"/>
  <c r="L466" i="6"/>
  <c r="K466" i="6"/>
  <c r="D466" i="6"/>
  <c r="C466" i="6"/>
  <c r="R465" i="6"/>
  <c r="Q465" i="6"/>
  <c r="P465" i="6"/>
  <c r="O465" i="6"/>
  <c r="N465" i="6"/>
  <c r="L465" i="6"/>
  <c r="K465" i="6"/>
  <c r="D465" i="6"/>
  <c r="C465" i="6"/>
  <c r="R464" i="6"/>
  <c r="Q464" i="6"/>
  <c r="P464" i="6"/>
  <c r="O464" i="6"/>
  <c r="N464" i="6"/>
  <c r="L464" i="6"/>
  <c r="K464" i="6"/>
  <c r="D464" i="6"/>
  <c r="C464" i="6"/>
  <c r="R463" i="6"/>
  <c r="Q463" i="6"/>
  <c r="P463" i="6"/>
  <c r="O463" i="6"/>
  <c r="N463" i="6"/>
  <c r="L463" i="6"/>
  <c r="K463" i="6"/>
  <c r="D463" i="6"/>
  <c r="C463" i="6"/>
  <c r="R462" i="6"/>
  <c r="Q462" i="6"/>
  <c r="P462" i="6"/>
  <c r="O462" i="6"/>
  <c r="N462" i="6"/>
  <c r="L462" i="6"/>
  <c r="K462" i="6"/>
  <c r="D462" i="6"/>
  <c r="C462" i="6"/>
  <c r="R461" i="6"/>
  <c r="Q461" i="6"/>
  <c r="P461" i="6"/>
  <c r="O461" i="6"/>
  <c r="N461" i="6"/>
  <c r="L461" i="6"/>
  <c r="K461" i="6"/>
  <c r="D461" i="6"/>
  <c r="C461" i="6"/>
  <c r="R460" i="6"/>
  <c r="Q460" i="6"/>
  <c r="P460" i="6"/>
  <c r="O460" i="6"/>
  <c r="N460" i="6"/>
  <c r="L460" i="6"/>
  <c r="K460" i="6"/>
  <c r="D460" i="6"/>
  <c r="C460" i="6"/>
  <c r="R459" i="6"/>
  <c r="Q459" i="6"/>
  <c r="P459" i="6"/>
  <c r="O459" i="6"/>
  <c r="N459" i="6"/>
  <c r="L459" i="6"/>
  <c r="K459" i="6"/>
  <c r="D459" i="6"/>
  <c r="C459" i="6"/>
  <c r="R458" i="6"/>
  <c r="Q458" i="6"/>
  <c r="P458" i="6"/>
  <c r="O458" i="6"/>
  <c r="N458" i="6"/>
  <c r="L458" i="6"/>
  <c r="K458" i="6"/>
  <c r="D458" i="6"/>
  <c r="C458" i="6"/>
  <c r="R457" i="6"/>
  <c r="Q457" i="6"/>
  <c r="P457" i="6"/>
  <c r="O457" i="6"/>
  <c r="N457" i="6"/>
  <c r="L457" i="6"/>
  <c r="K457" i="6"/>
  <c r="D457" i="6"/>
  <c r="C457" i="6"/>
  <c r="R456" i="6"/>
  <c r="Q456" i="6"/>
  <c r="P456" i="6"/>
  <c r="O456" i="6"/>
  <c r="N456" i="6"/>
  <c r="L456" i="6"/>
  <c r="K456" i="6"/>
  <c r="D456" i="6"/>
  <c r="C456" i="6"/>
  <c r="R455" i="6"/>
  <c r="Q455" i="6"/>
  <c r="P455" i="6"/>
  <c r="O455" i="6"/>
  <c r="N455" i="6"/>
  <c r="L455" i="6"/>
  <c r="K455" i="6"/>
  <c r="D455" i="6"/>
  <c r="C455" i="6"/>
  <c r="R454" i="6"/>
  <c r="Q454" i="6"/>
  <c r="P454" i="6"/>
  <c r="O454" i="6"/>
  <c r="N454" i="6"/>
  <c r="L454" i="6"/>
  <c r="K454" i="6"/>
  <c r="D454" i="6"/>
  <c r="C454" i="6"/>
  <c r="R453" i="6"/>
  <c r="Q453" i="6"/>
  <c r="P453" i="6"/>
  <c r="O453" i="6"/>
  <c r="N453" i="6"/>
  <c r="L453" i="6"/>
  <c r="K453" i="6"/>
  <c r="D453" i="6"/>
  <c r="C453" i="6"/>
  <c r="R452" i="6"/>
  <c r="Q452" i="6"/>
  <c r="P452" i="6"/>
  <c r="O452" i="6"/>
  <c r="N452" i="6"/>
  <c r="L452" i="6"/>
  <c r="K452" i="6"/>
  <c r="D452" i="6"/>
  <c r="C452" i="6"/>
  <c r="R451" i="6"/>
  <c r="Q451" i="6"/>
  <c r="P451" i="6"/>
  <c r="O451" i="6"/>
  <c r="N451" i="6"/>
  <c r="L451" i="6"/>
  <c r="K451" i="6"/>
  <c r="D451" i="6"/>
  <c r="C451" i="6"/>
  <c r="R450" i="6"/>
  <c r="Q450" i="6"/>
  <c r="P450" i="6"/>
  <c r="O450" i="6"/>
  <c r="N450" i="6"/>
  <c r="L450" i="6"/>
  <c r="K450" i="6"/>
  <c r="D450" i="6"/>
  <c r="C450" i="6"/>
  <c r="R449" i="6"/>
  <c r="Q449" i="6"/>
  <c r="P449" i="6"/>
  <c r="O449" i="6"/>
  <c r="N449" i="6"/>
  <c r="L449" i="6"/>
  <c r="K449" i="6"/>
  <c r="D449" i="6"/>
  <c r="C449" i="6"/>
  <c r="R448" i="6"/>
  <c r="Q448" i="6"/>
  <c r="P448" i="6"/>
  <c r="O448" i="6"/>
  <c r="N448" i="6"/>
  <c r="L448" i="6"/>
  <c r="K448" i="6"/>
  <c r="D448" i="6"/>
  <c r="C448" i="6"/>
  <c r="R447" i="6"/>
  <c r="Q447" i="6"/>
  <c r="P447" i="6"/>
  <c r="O447" i="6"/>
  <c r="N447" i="6"/>
  <c r="L447" i="6"/>
  <c r="K447" i="6"/>
  <c r="D447" i="6"/>
  <c r="C447" i="6"/>
  <c r="R446" i="6"/>
  <c r="Q446" i="6"/>
  <c r="P446" i="6"/>
  <c r="O446" i="6"/>
  <c r="N446" i="6"/>
  <c r="L446" i="6"/>
  <c r="K446" i="6"/>
  <c r="D446" i="6"/>
  <c r="C446" i="6"/>
  <c r="R445" i="6"/>
  <c r="Q445" i="6"/>
  <c r="P445" i="6"/>
  <c r="O445" i="6"/>
  <c r="N445" i="6"/>
  <c r="L445" i="6"/>
  <c r="K445" i="6"/>
  <c r="D445" i="6"/>
  <c r="C445" i="6"/>
  <c r="R444" i="6"/>
  <c r="Q444" i="6"/>
  <c r="P444" i="6"/>
  <c r="O444" i="6"/>
  <c r="N444" i="6"/>
  <c r="L444" i="6"/>
  <c r="K444" i="6"/>
  <c r="D444" i="6"/>
  <c r="C444" i="6"/>
  <c r="R443" i="6"/>
  <c r="Q443" i="6"/>
  <c r="P443" i="6"/>
  <c r="O443" i="6"/>
  <c r="N443" i="6"/>
  <c r="L443" i="6"/>
  <c r="K443" i="6"/>
  <c r="D443" i="6"/>
  <c r="C443" i="6"/>
  <c r="R442" i="6"/>
  <c r="Q442" i="6"/>
  <c r="P442" i="6"/>
  <c r="O442" i="6"/>
  <c r="N442" i="6"/>
  <c r="L442" i="6"/>
  <c r="K442" i="6"/>
  <c r="D442" i="6"/>
  <c r="C442" i="6"/>
  <c r="R441" i="6"/>
  <c r="Q441" i="6"/>
  <c r="P441" i="6"/>
  <c r="O441" i="6"/>
  <c r="N441" i="6"/>
  <c r="L441" i="6"/>
  <c r="K441" i="6"/>
  <c r="D441" i="6"/>
  <c r="C441" i="6"/>
  <c r="R440" i="6"/>
  <c r="Q440" i="6"/>
  <c r="P440" i="6"/>
  <c r="O440" i="6"/>
  <c r="N440" i="6"/>
  <c r="L440" i="6"/>
  <c r="K440" i="6"/>
  <c r="D440" i="6"/>
  <c r="C440" i="6"/>
  <c r="R439" i="6"/>
  <c r="Q439" i="6"/>
  <c r="P439" i="6"/>
  <c r="O439" i="6"/>
  <c r="N439" i="6"/>
  <c r="L439" i="6"/>
  <c r="K439" i="6"/>
  <c r="D439" i="6"/>
  <c r="C439" i="6"/>
  <c r="R438" i="6"/>
  <c r="Q438" i="6"/>
  <c r="P438" i="6"/>
  <c r="O438" i="6"/>
  <c r="N438" i="6"/>
  <c r="L438" i="6"/>
  <c r="K438" i="6"/>
  <c r="D438" i="6"/>
  <c r="C438" i="6"/>
  <c r="R437" i="6"/>
  <c r="Q437" i="6"/>
  <c r="P437" i="6"/>
  <c r="O437" i="6"/>
  <c r="N437" i="6"/>
  <c r="L437" i="6"/>
  <c r="K437" i="6"/>
  <c r="D437" i="6"/>
  <c r="C437" i="6"/>
  <c r="R436" i="6"/>
  <c r="Q436" i="6"/>
  <c r="P436" i="6"/>
  <c r="O436" i="6"/>
  <c r="N436" i="6"/>
  <c r="L436" i="6"/>
  <c r="K436" i="6"/>
  <c r="D436" i="6"/>
  <c r="C436" i="6"/>
  <c r="R435" i="6"/>
  <c r="Q435" i="6"/>
  <c r="P435" i="6"/>
  <c r="O435" i="6"/>
  <c r="N435" i="6"/>
  <c r="L435" i="6"/>
  <c r="K435" i="6"/>
  <c r="D435" i="6"/>
  <c r="C435" i="6"/>
  <c r="R434" i="6"/>
  <c r="Q434" i="6"/>
  <c r="P434" i="6"/>
  <c r="O434" i="6"/>
  <c r="N434" i="6"/>
  <c r="L434" i="6"/>
  <c r="K434" i="6"/>
  <c r="D434" i="6"/>
  <c r="C434" i="6"/>
  <c r="R433" i="6"/>
  <c r="Q433" i="6"/>
  <c r="P433" i="6"/>
  <c r="O433" i="6"/>
  <c r="N433" i="6"/>
  <c r="L433" i="6"/>
  <c r="K433" i="6"/>
  <c r="D433" i="6"/>
  <c r="C433" i="6"/>
  <c r="R432" i="6"/>
  <c r="Q432" i="6"/>
  <c r="P432" i="6"/>
  <c r="O432" i="6"/>
  <c r="N432" i="6"/>
  <c r="L432" i="6"/>
  <c r="K432" i="6"/>
  <c r="D432" i="6"/>
  <c r="C432" i="6"/>
  <c r="R431" i="6"/>
  <c r="Q431" i="6"/>
  <c r="P431" i="6"/>
  <c r="O431" i="6"/>
  <c r="N431" i="6"/>
  <c r="L431" i="6"/>
  <c r="K431" i="6"/>
  <c r="D431" i="6"/>
  <c r="C431" i="6"/>
  <c r="R430" i="6"/>
  <c r="Q430" i="6"/>
  <c r="P430" i="6"/>
  <c r="O430" i="6"/>
  <c r="N430" i="6"/>
  <c r="L430" i="6"/>
  <c r="K430" i="6"/>
  <c r="D430" i="6"/>
  <c r="C430" i="6"/>
  <c r="R429" i="6"/>
  <c r="Q429" i="6"/>
  <c r="P429" i="6"/>
  <c r="O429" i="6"/>
  <c r="N429" i="6"/>
  <c r="L429" i="6"/>
  <c r="K429" i="6"/>
  <c r="D429" i="6"/>
  <c r="C429" i="6"/>
  <c r="R428" i="6"/>
  <c r="Q428" i="6"/>
  <c r="P428" i="6"/>
  <c r="O428" i="6"/>
  <c r="N428" i="6"/>
  <c r="L428" i="6"/>
  <c r="K428" i="6"/>
  <c r="D428" i="6"/>
  <c r="C428" i="6"/>
  <c r="R427" i="6"/>
  <c r="Q427" i="6"/>
  <c r="P427" i="6"/>
  <c r="O427" i="6"/>
  <c r="N427" i="6"/>
  <c r="L427" i="6"/>
  <c r="K427" i="6"/>
  <c r="D427" i="6"/>
  <c r="C427" i="6"/>
  <c r="R426" i="6"/>
  <c r="Q426" i="6"/>
  <c r="P426" i="6"/>
  <c r="O426" i="6"/>
  <c r="N426" i="6"/>
  <c r="L426" i="6"/>
  <c r="K426" i="6"/>
  <c r="D426" i="6"/>
  <c r="C426" i="6"/>
  <c r="R425" i="6"/>
  <c r="Q425" i="6"/>
  <c r="P425" i="6"/>
  <c r="O425" i="6"/>
  <c r="N425" i="6"/>
  <c r="L425" i="6"/>
  <c r="K425" i="6"/>
  <c r="D425" i="6"/>
  <c r="C425" i="6"/>
  <c r="R424" i="6"/>
  <c r="Q424" i="6"/>
  <c r="P424" i="6"/>
  <c r="O424" i="6"/>
  <c r="N424" i="6"/>
  <c r="L424" i="6"/>
  <c r="K424" i="6"/>
  <c r="D424" i="6"/>
  <c r="C424" i="6"/>
  <c r="R423" i="6"/>
  <c r="Q423" i="6"/>
  <c r="P423" i="6"/>
  <c r="O423" i="6"/>
  <c r="N423" i="6"/>
  <c r="L423" i="6"/>
  <c r="K423" i="6"/>
  <c r="D423" i="6"/>
  <c r="C423" i="6"/>
  <c r="R422" i="6"/>
  <c r="Q422" i="6"/>
  <c r="P422" i="6"/>
  <c r="O422" i="6"/>
  <c r="N422" i="6"/>
  <c r="L422" i="6"/>
  <c r="K422" i="6"/>
  <c r="D422" i="6"/>
  <c r="C422" i="6"/>
  <c r="R421" i="6"/>
  <c r="Q421" i="6"/>
  <c r="P421" i="6"/>
  <c r="O421" i="6"/>
  <c r="N421" i="6"/>
  <c r="L421" i="6"/>
  <c r="K421" i="6"/>
  <c r="D421" i="6"/>
  <c r="C421" i="6"/>
  <c r="R420" i="6"/>
  <c r="Q420" i="6"/>
  <c r="P420" i="6"/>
  <c r="O420" i="6"/>
  <c r="N420" i="6"/>
  <c r="L420" i="6"/>
  <c r="K420" i="6"/>
  <c r="D420" i="6"/>
  <c r="C420" i="6"/>
  <c r="R419" i="6"/>
  <c r="Q419" i="6"/>
  <c r="P419" i="6"/>
  <c r="O419" i="6"/>
  <c r="N419" i="6"/>
  <c r="L419" i="6"/>
  <c r="K419" i="6"/>
  <c r="D419" i="6"/>
  <c r="C419" i="6"/>
  <c r="R418" i="6"/>
  <c r="Q418" i="6"/>
  <c r="P418" i="6"/>
  <c r="O418" i="6"/>
  <c r="N418" i="6"/>
  <c r="L418" i="6"/>
  <c r="K418" i="6"/>
  <c r="D418" i="6"/>
  <c r="C418" i="6"/>
  <c r="R417" i="6"/>
  <c r="Q417" i="6"/>
  <c r="P417" i="6"/>
  <c r="O417" i="6"/>
  <c r="N417" i="6"/>
  <c r="L417" i="6"/>
  <c r="K417" i="6"/>
  <c r="D417" i="6"/>
  <c r="C417" i="6"/>
  <c r="R416" i="6"/>
  <c r="Q416" i="6"/>
  <c r="P416" i="6"/>
  <c r="O416" i="6"/>
  <c r="N416" i="6"/>
  <c r="L416" i="6"/>
  <c r="K416" i="6"/>
  <c r="D416" i="6"/>
  <c r="C416" i="6"/>
  <c r="R415" i="6"/>
  <c r="Q415" i="6"/>
  <c r="P415" i="6"/>
  <c r="O415" i="6"/>
  <c r="N415" i="6"/>
  <c r="L415" i="6"/>
  <c r="K415" i="6"/>
  <c r="D415" i="6"/>
  <c r="C415" i="6"/>
  <c r="R414" i="6"/>
  <c r="Q414" i="6"/>
  <c r="P414" i="6"/>
  <c r="O414" i="6"/>
  <c r="N414" i="6"/>
  <c r="L414" i="6"/>
  <c r="K414" i="6"/>
  <c r="D414" i="6"/>
  <c r="C414" i="6"/>
  <c r="R413" i="6"/>
  <c r="Q413" i="6"/>
  <c r="P413" i="6"/>
  <c r="O413" i="6"/>
  <c r="N413" i="6"/>
  <c r="L413" i="6"/>
  <c r="K413" i="6"/>
  <c r="D413" i="6"/>
  <c r="C413" i="6"/>
  <c r="R412" i="6"/>
  <c r="Q412" i="6"/>
  <c r="P412" i="6"/>
  <c r="O412" i="6"/>
  <c r="N412" i="6"/>
  <c r="L412" i="6"/>
  <c r="K412" i="6"/>
  <c r="D412" i="6"/>
  <c r="C412" i="6"/>
  <c r="R411" i="6"/>
  <c r="Q411" i="6"/>
  <c r="P411" i="6"/>
  <c r="O411" i="6"/>
  <c r="N411" i="6"/>
  <c r="L411" i="6"/>
  <c r="K411" i="6"/>
  <c r="D411" i="6"/>
  <c r="C411" i="6"/>
  <c r="R410" i="6"/>
  <c r="Q410" i="6"/>
  <c r="P410" i="6"/>
  <c r="O410" i="6"/>
  <c r="N410" i="6"/>
  <c r="L410" i="6"/>
  <c r="K410" i="6"/>
  <c r="D410" i="6"/>
  <c r="C410" i="6"/>
  <c r="R409" i="6"/>
  <c r="Q409" i="6"/>
  <c r="P409" i="6"/>
  <c r="O409" i="6"/>
  <c r="N409" i="6"/>
  <c r="L409" i="6"/>
  <c r="K409" i="6"/>
  <c r="D409" i="6"/>
  <c r="C409" i="6"/>
  <c r="R408" i="6"/>
  <c r="Q408" i="6"/>
  <c r="P408" i="6"/>
  <c r="O408" i="6"/>
  <c r="N408" i="6"/>
  <c r="L408" i="6"/>
  <c r="K408" i="6"/>
  <c r="D408" i="6"/>
  <c r="C408" i="6"/>
  <c r="R407" i="6"/>
  <c r="Q407" i="6"/>
  <c r="P407" i="6"/>
  <c r="O407" i="6"/>
  <c r="N407" i="6"/>
  <c r="L407" i="6"/>
  <c r="K407" i="6"/>
  <c r="D407" i="6"/>
  <c r="C407" i="6"/>
  <c r="R406" i="6"/>
  <c r="Q406" i="6"/>
  <c r="P406" i="6"/>
  <c r="O406" i="6"/>
  <c r="N406" i="6"/>
  <c r="L406" i="6"/>
  <c r="K406" i="6"/>
  <c r="D406" i="6"/>
  <c r="C406" i="6"/>
  <c r="R405" i="6"/>
  <c r="Q405" i="6"/>
  <c r="P405" i="6"/>
  <c r="O405" i="6"/>
  <c r="N405" i="6"/>
  <c r="L405" i="6"/>
  <c r="K405" i="6"/>
  <c r="D405" i="6"/>
  <c r="C405" i="6"/>
  <c r="R404" i="6"/>
  <c r="Q404" i="6"/>
  <c r="P404" i="6"/>
  <c r="O404" i="6"/>
  <c r="N404" i="6"/>
  <c r="L404" i="6"/>
  <c r="K404" i="6"/>
  <c r="D404" i="6"/>
  <c r="C404" i="6"/>
  <c r="R403" i="6"/>
  <c r="Q403" i="6"/>
  <c r="P403" i="6"/>
  <c r="O403" i="6"/>
  <c r="N403" i="6"/>
  <c r="L403" i="6"/>
  <c r="K403" i="6"/>
  <c r="D403" i="6"/>
  <c r="C403" i="6"/>
  <c r="R402" i="6"/>
  <c r="Q402" i="6"/>
  <c r="P402" i="6"/>
  <c r="O402" i="6"/>
  <c r="N402" i="6"/>
  <c r="L402" i="6"/>
  <c r="K402" i="6"/>
  <c r="D402" i="6"/>
  <c r="C402" i="6"/>
  <c r="R401" i="6"/>
  <c r="Q401" i="6"/>
  <c r="P401" i="6"/>
  <c r="O401" i="6"/>
  <c r="N401" i="6"/>
  <c r="L401" i="6"/>
  <c r="K401" i="6"/>
  <c r="D401" i="6"/>
  <c r="C401" i="6"/>
  <c r="R400" i="6"/>
  <c r="Q400" i="6"/>
  <c r="P400" i="6"/>
  <c r="O400" i="6"/>
  <c r="N400" i="6"/>
  <c r="L400" i="6"/>
  <c r="K400" i="6"/>
  <c r="D400" i="6"/>
  <c r="C400" i="6"/>
  <c r="R399" i="6"/>
  <c r="Q399" i="6"/>
  <c r="P399" i="6"/>
  <c r="O399" i="6"/>
  <c r="N399" i="6"/>
  <c r="L399" i="6"/>
  <c r="K399" i="6"/>
  <c r="D399" i="6"/>
  <c r="C399" i="6"/>
  <c r="R398" i="6"/>
  <c r="Q398" i="6"/>
  <c r="P398" i="6"/>
  <c r="O398" i="6"/>
  <c r="N398" i="6"/>
  <c r="L398" i="6"/>
  <c r="K398" i="6"/>
  <c r="D398" i="6"/>
  <c r="C398" i="6"/>
  <c r="R397" i="6"/>
  <c r="Q397" i="6"/>
  <c r="P397" i="6"/>
  <c r="O397" i="6"/>
  <c r="N397" i="6"/>
  <c r="L397" i="6"/>
  <c r="K397" i="6"/>
  <c r="D397" i="6"/>
  <c r="C397" i="6"/>
  <c r="R396" i="6"/>
  <c r="Q396" i="6"/>
  <c r="P396" i="6"/>
  <c r="O396" i="6"/>
  <c r="N396" i="6"/>
  <c r="L396" i="6"/>
  <c r="K396" i="6"/>
  <c r="D396" i="6"/>
  <c r="C396" i="6"/>
  <c r="R395" i="6"/>
  <c r="Q395" i="6"/>
  <c r="P395" i="6"/>
  <c r="O395" i="6"/>
  <c r="N395" i="6"/>
  <c r="L395" i="6"/>
  <c r="K395" i="6"/>
  <c r="D395" i="6"/>
  <c r="C395" i="6"/>
  <c r="R394" i="6"/>
  <c r="Q394" i="6"/>
  <c r="P394" i="6"/>
  <c r="O394" i="6"/>
  <c r="N394" i="6"/>
  <c r="L394" i="6"/>
  <c r="K394" i="6"/>
  <c r="D394" i="6"/>
  <c r="C394" i="6"/>
  <c r="R393" i="6"/>
  <c r="Q393" i="6"/>
  <c r="P393" i="6"/>
  <c r="O393" i="6"/>
  <c r="N393" i="6"/>
  <c r="L393" i="6"/>
  <c r="K393" i="6"/>
  <c r="D393" i="6"/>
  <c r="C393" i="6"/>
  <c r="R392" i="6"/>
  <c r="Q392" i="6"/>
  <c r="P392" i="6"/>
  <c r="O392" i="6"/>
  <c r="N392" i="6"/>
  <c r="L392" i="6"/>
  <c r="K392" i="6"/>
  <c r="D392" i="6"/>
  <c r="C392" i="6"/>
  <c r="R391" i="6"/>
  <c r="Q391" i="6"/>
  <c r="P391" i="6"/>
  <c r="O391" i="6"/>
  <c r="N391" i="6"/>
  <c r="L391" i="6"/>
  <c r="K391" i="6"/>
  <c r="D391" i="6"/>
  <c r="C391" i="6"/>
  <c r="R390" i="6"/>
  <c r="Q390" i="6"/>
  <c r="P390" i="6"/>
  <c r="O390" i="6"/>
  <c r="N390" i="6"/>
  <c r="L390" i="6"/>
  <c r="K390" i="6"/>
  <c r="D390" i="6"/>
  <c r="C390" i="6"/>
  <c r="R389" i="6"/>
  <c r="Q389" i="6"/>
  <c r="P389" i="6"/>
  <c r="O389" i="6"/>
  <c r="N389" i="6"/>
  <c r="L389" i="6"/>
  <c r="K389" i="6"/>
  <c r="D389" i="6"/>
  <c r="C389" i="6"/>
  <c r="R388" i="6"/>
  <c r="Q388" i="6"/>
  <c r="P388" i="6"/>
  <c r="O388" i="6"/>
  <c r="N388" i="6"/>
  <c r="L388" i="6"/>
  <c r="K388" i="6"/>
  <c r="D388" i="6"/>
  <c r="C388" i="6"/>
  <c r="R387" i="6"/>
  <c r="Q387" i="6"/>
  <c r="P387" i="6"/>
  <c r="O387" i="6"/>
  <c r="N387" i="6"/>
  <c r="L387" i="6"/>
  <c r="K387" i="6"/>
  <c r="D387" i="6"/>
  <c r="C387" i="6"/>
  <c r="R386" i="6"/>
  <c r="Q386" i="6"/>
  <c r="P386" i="6"/>
  <c r="O386" i="6"/>
  <c r="N386" i="6"/>
  <c r="L386" i="6"/>
  <c r="K386" i="6"/>
  <c r="D386" i="6"/>
  <c r="C386" i="6"/>
  <c r="R385" i="6"/>
  <c r="Q385" i="6"/>
  <c r="P385" i="6"/>
  <c r="O385" i="6"/>
  <c r="N385" i="6"/>
  <c r="L385" i="6"/>
  <c r="K385" i="6"/>
  <c r="D385" i="6"/>
  <c r="C385" i="6"/>
  <c r="R384" i="6"/>
  <c r="Q384" i="6"/>
  <c r="P384" i="6"/>
  <c r="O384" i="6"/>
  <c r="N384" i="6"/>
  <c r="L384" i="6"/>
  <c r="K384" i="6"/>
  <c r="D384" i="6"/>
  <c r="C384" i="6"/>
  <c r="R383" i="6"/>
  <c r="Q383" i="6"/>
  <c r="P383" i="6"/>
  <c r="O383" i="6"/>
  <c r="N383" i="6"/>
  <c r="L383" i="6"/>
  <c r="K383" i="6"/>
  <c r="D383" i="6"/>
  <c r="C383" i="6"/>
  <c r="R382" i="6"/>
  <c r="Q382" i="6"/>
  <c r="P382" i="6"/>
  <c r="O382" i="6"/>
  <c r="N382" i="6"/>
  <c r="L382" i="6"/>
  <c r="K382" i="6"/>
  <c r="D382" i="6"/>
  <c r="C382" i="6"/>
  <c r="R381" i="6"/>
  <c r="Q381" i="6"/>
  <c r="P381" i="6"/>
  <c r="O381" i="6"/>
  <c r="N381" i="6"/>
  <c r="L381" i="6"/>
  <c r="K381" i="6"/>
  <c r="D381" i="6"/>
  <c r="C381" i="6"/>
  <c r="R380" i="6"/>
  <c r="Q380" i="6"/>
  <c r="P380" i="6"/>
  <c r="O380" i="6"/>
  <c r="N380" i="6"/>
  <c r="L380" i="6"/>
  <c r="K380" i="6"/>
  <c r="D380" i="6"/>
  <c r="C380" i="6"/>
  <c r="R379" i="6"/>
  <c r="Q379" i="6"/>
  <c r="P379" i="6"/>
  <c r="O379" i="6"/>
  <c r="N379" i="6"/>
  <c r="L379" i="6"/>
  <c r="K379" i="6"/>
  <c r="D379" i="6"/>
  <c r="C379" i="6"/>
  <c r="R378" i="6"/>
  <c r="Q378" i="6"/>
  <c r="P378" i="6"/>
  <c r="O378" i="6"/>
  <c r="N378" i="6"/>
  <c r="L378" i="6"/>
  <c r="K378" i="6"/>
  <c r="D378" i="6"/>
  <c r="C378" i="6"/>
  <c r="R377" i="6"/>
  <c r="Q377" i="6"/>
  <c r="P377" i="6"/>
  <c r="O377" i="6"/>
  <c r="N377" i="6"/>
  <c r="L377" i="6"/>
  <c r="K377" i="6"/>
  <c r="D377" i="6"/>
  <c r="C377" i="6"/>
  <c r="R376" i="6"/>
  <c r="Q376" i="6"/>
  <c r="P376" i="6"/>
  <c r="O376" i="6"/>
  <c r="N376" i="6"/>
  <c r="L376" i="6"/>
  <c r="K376" i="6"/>
  <c r="D376" i="6"/>
  <c r="C376" i="6"/>
  <c r="R375" i="6"/>
  <c r="Q375" i="6"/>
  <c r="P375" i="6"/>
  <c r="O375" i="6"/>
  <c r="N375" i="6"/>
  <c r="L375" i="6"/>
  <c r="K375" i="6"/>
  <c r="D375" i="6"/>
  <c r="C375" i="6"/>
  <c r="R374" i="6"/>
  <c r="Q374" i="6"/>
  <c r="P374" i="6"/>
  <c r="O374" i="6"/>
  <c r="N374" i="6"/>
  <c r="L374" i="6"/>
  <c r="K374" i="6"/>
  <c r="D374" i="6"/>
  <c r="C374" i="6"/>
  <c r="R373" i="6"/>
  <c r="Q373" i="6"/>
  <c r="P373" i="6"/>
  <c r="O373" i="6"/>
  <c r="N373" i="6"/>
  <c r="L373" i="6"/>
  <c r="K373" i="6"/>
  <c r="D373" i="6"/>
  <c r="C373" i="6"/>
  <c r="R372" i="6"/>
  <c r="Q372" i="6"/>
  <c r="P372" i="6"/>
  <c r="O372" i="6"/>
  <c r="N372" i="6"/>
  <c r="L372" i="6"/>
  <c r="K372" i="6"/>
  <c r="D372" i="6"/>
  <c r="C372" i="6"/>
  <c r="R371" i="6"/>
  <c r="Q371" i="6"/>
  <c r="P371" i="6"/>
  <c r="O371" i="6"/>
  <c r="N371" i="6"/>
  <c r="L371" i="6"/>
  <c r="K371" i="6"/>
  <c r="D371" i="6"/>
  <c r="C371" i="6"/>
  <c r="R370" i="6"/>
  <c r="Q370" i="6"/>
  <c r="P370" i="6"/>
  <c r="O370" i="6"/>
  <c r="N370" i="6"/>
  <c r="L370" i="6"/>
  <c r="K370" i="6"/>
  <c r="D370" i="6"/>
  <c r="C370" i="6"/>
  <c r="R369" i="6"/>
  <c r="Q369" i="6"/>
  <c r="P369" i="6"/>
  <c r="O369" i="6"/>
  <c r="N369" i="6"/>
  <c r="L369" i="6"/>
  <c r="K369" i="6"/>
  <c r="D369" i="6"/>
  <c r="C369" i="6"/>
  <c r="R368" i="6"/>
  <c r="Q368" i="6"/>
  <c r="P368" i="6"/>
  <c r="O368" i="6"/>
  <c r="N368" i="6"/>
  <c r="L368" i="6"/>
  <c r="K368" i="6"/>
  <c r="D368" i="6"/>
  <c r="C368" i="6"/>
  <c r="R367" i="6"/>
  <c r="Q367" i="6"/>
  <c r="P367" i="6"/>
  <c r="O367" i="6"/>
  <c r="N367" i="6"/>
  <c r="L367" i="6"/>
  <c r="K367" i="6"/>
  <c r="D367" i="6"/>
  <c r="C367" i="6"/>
  <c r="R366" i="6"/>
  <c r="Q366" i="6"/>
  <c r="P366" i="6"/>
  <c r="O366" i="6"/>
  <c r="N366" i="6"/>
  <c r="L366" i="6"/>
  <c r="K366" i="6"/>
  <c r="D366" i="6"/>
  <c r="C366" i="6"/>
  <c r="R365" i="6"/>
  <c r="Q365" i="6"/>
  <c r="P365" i="6"/>
  <c r="O365" i="6"/>
  <c r="N365" i="6"/>
  <c r="L365" i="6"/>
  <c r="K365" i="6"/>
  <c r="D365" i="6"/>
  <c r="C365" i="6"/>
  <c r="R364" i="6"/>
  <c r="Q364" i="6"/>
  <c r="P364" i="6"/>
  <c r="O364" i="6"/>
  <c r="N364" i="6"/>
  <c r="L364" i="6"/>
  <c r="K364" i="6"/>
  <c r="D364" i="6"/>
  <c r="C364" i="6"/>
  <c r="R363" i="6"/>
  <c r="Q363" i="6"/>
  <c r="P363" i="6"/>
  <c r="O363" i="6"/>
  <c r="N363" i="6"/>
  <c r="L363" i="6"/>
  <c r="K363" i="6"/>
  <c r="D363" i="6"/>
  <c r="C363" i="6"/>
  <c r="R362" i="6"/>
  <c r="Q362" i="6"/>
  <c r="P362" i="6"/>
  <c r="O362" i="6"/>
  <c r="N362" i="6"/>
  <c r="L362" i="6"/>
  <c r="K362" i="6"/>
  <c r="D362" i="6"/>
  <c r="C362" i="6"/>
  <c r="R361" i="6"/>
  <c r="Q361" i="6"/>
  <c r="P361" i="6"/>
  <c r="O361" i="6"/>
  <c r="N361" i="6"/>
  <c r="L361" i="6"/>
  <c r="K361" i="6"/>
  <c r="D361" i="6"/>
  <c r="C361" i="6"/>
  <c r="R360" i="6"/>
  <c r="Q360" i="6"/>
  <c r="P360" i="6"/>
  <c r="O360" i="6"/>
  <c r="N360" i="6"/>
  <c r="L360" i="6"/>
  <c r="K360" i="6"/>
  <c r="D360" i="6"/>
  <c r="C360" i="6"/>
  <c r="R359" i="6"/>
  <c r="Q359" i="6"/>
  <c r="P359" i="6"/>
  <c r="O359" i="6"/>
  <c r="N359" i="6"/>
  <c r="L359" i="6"/>
  <c r="K359" i="6"/>
  <c r="D359" i="6"/>
  <c r="C359" i="6"/>
  <c r="R358" i="6"/>
  <c r="Q358" i="6"/>
  <c r="P358" i="6"/>
  <c r="O358" i="6"/>
  <c r="N358" i="6"/>
  <c r="L358" i="6"/>
  <c r="K358" i="6"/>
  <c r="D358" i="6"/>
  <c r="C358" i="6"/>
  <c r="R357" i="6"/>
  <c r="Q357" i="6"/>
  <c r="P357" i="6"/>
  <c r="O357" i="6"/>
  <c r="N357" i="6"/>
  <c r="L357" i="6"/>
  <c r="K357" i="6"/>
  <c r="D357" i="6"/>
  <c r="C357" i="6"/>
  <c r="R356" i="6"/>
  <c r="Q356" i="6"/>
  <c r="P356" i="6"/>
  <c r="O356" i="6"/>
  <c r="N356" i="6"/>
  <c r="L356" i="6"/>
  <c r="K356" i="6"/>
  <c r="D356" i="6"/>
  <c r="C356" i="6"/>
  <c r="R355" i="6"/>
  <c r="Q355" i="6"/>
  <c r="P355" i="6"/>
  <c r="O355" i="6"/>
  <c r="N355" i="6"/>
  <c r="L355" i="6"/>
  <c r="K355" i="6"/>
  <c r="D355" i="6"/>
  <c r="C355" i="6"/>
  <c r="R354" i="6"/>
  <c r="Q354" i="6"/>
  <c r="P354" i="6"/>
  <c r="O354" i="6"/>
  <c r="N354" i="6"/>
  <c r="L354" i="6"/>
  <c r="K354" i="6"/>
  <c r="D354" i="6"/>
  <c r="C354" i="6"/>
  <c r="R353" i="6"/>
  <c r="Q353" i="6"/>
  <c r="P353" i="6"/>
  <c r="O353" i="6"/>
  <c r="N353" i="6"/>
  <c r="L353" i="6"/>
  <c r="K353" i="6"/>
  <c r="D353" i="6"/>
  <c r="C353" i="6"/>
  <c r="R352" i="6"/>
  <c r="Q352" i="6"/>
  <c r="P352" i="6"/>
  <c r="O352" i="6"/>
  <c r="N352" i="6"/>
  <c r="L352" i="6"/>
  <c r="K352" i="6"/>
  <c r="D352" i="6"/>
  <c r="C352" i="6"/>
  <c r="R351" i="6"/>
  <c r="Q351" i="6"/>
  <c r="P351" i="6"/>
  <c r="O351" i="6"/>
  <c r="N351" i="6"/>
  <c r="L351" i="6"/>
  <c r="K351" i="6"/>
  <c r="D351" i="6"/>
  <c r="C351" i="6"/>
  <c r="R350" i="6"/>
  <c r="Q350" i="6"/>
  <c r="P350" i="6"/>
  <c r="O350" i="6"/>
  <c r="N350" i="6"/>
  <c r="L350" i="6"/>
  <c r="K350" i="6"/>
  <c r="D350" i="6"/>
  <c r="C350" i="6"/>
  <c r="R349" i="6"/>
  <c r="Q349" i="6"/>
  <c r="P349" i="6"/>
  <c r="O349" i="6"/>
  <c r="N349" i="6"/>
  <c r="L349" i="6"/>
  <c r="K349" i="6"/>
  <c r="D349" i="6"/>
  <c r="C349" i="6"/>
  <c r="R348" i="6"/>
  <c r="Q348" i="6"/>
  <c r="P348" i="6"/>
  <c r="O348" i="6"/>
  <c r="N348" i="6"/>
  <c r="L348" i="6"/>
  <c r="K348" i="6"/>
  <c r="D348" i="6"/>
  <c r="C348" i="6"/>
  <c r="R347" i="6"/>
  <c r="Q347" i="6"/>
  <c r="P347" i="6"/>
  <c r="O347" i="6"/>
  <c r="N347" i="6"/>
  <c r="L347" i="6"/>
  <c r="K347" i="6"/>
  <c r="D347" i="6"/>
  <c r="C347" i="6"/>
  <c r="R346" i="6"/>
  <c r="Q346" i="6"/>
  <c r="P346" i="6"/>
  <c r="O346" i="6"/>
  <c r="N346" i="6"/>
  <c r="L346" i="6"/>
  <c r="K346" i="6"/>
  <c r="D346" i="6"/>
  <c r="C346" i="6"/>
  <c r="R345" i="6"/>
  <c r="Q345" i="6"/>
  <c r="P345" i="6"/>
  <c r="O345" i="6"/>
  <c r="N345" i="6"/>
  <c r="L345" i="6"/>
  <c r="K345" i="6"/>
  <c r="D345" i="6"/>
  <c r="C345" i="6"/>
  <c r="R344" i="6"/>
  <c r="Q344" i="6"/>
  <c r="P344" i="6"/>
  <c r="O344" i="6"/>
  <c r="N344" i="6"/>
  <c r="L344" i="6"/>
  <c r="K344" i="6"/>
  <c r="D344" i="6"/>
  <c r="C344" i="6"/>
  <c r="R343" i="6"/>
  <c r="Q343" i="6"/>
  <c r="P343" i="6"/>
  <c r="O343" i="6"/>
  <c r="N343" i="6"/>
  <c r="L343" i="6"/>
  <c r="K343" i="6"/>
  <c r="D343" i="6"/>
  <c r="C343" i="6"/>
  <c r="R342" i="6"/>
  <c r="Q342" i="6"/>
  <c r="P342" i="6"/>
  <c r="O342" i="6"/>
  <c r="N342" i="6"/>
  <c r="L342" i="6"/>
  <c r="K342" i="6"/>
  <c r="D342" i="6"/>
  <c r="C342" i="6"/>
  <c r="R341" i="6"/>
  <c r="Q341" i="6"/>
  <c r="P341" i="6"/>
  <c r="O341" i="6"/>
  <c r="N341" i="6"/>
  <c r="L341" i="6"/>
  <c r="K341" i="6"/>
  <c r="D341" i="6"/>
  <c r="C341" i="6"/>
  <c r="R340" i="6"/>
  <c r="Q340" i="6"/>
  <c r="P340" i="6"/>
  <c r="O340" i="6"/>
  <c r="N340" i="6"/>
  <c r="L340" i="6"/>
  <c r="K340" i="6"/>
  <c r="D340" i="6"/>
  <c r="C340" i="6"/>
  <c r="R339" i="6"/>
  <c r="Q339" i="6"/>
  <c r="P339" i="6"/>
  <c r="O339" i="6"/>
  <c r="N339" i="6"/>
  <c r="L339" i="6"/>
  <c r="K339" i="6"/>
  <c r="D339" i="6"/>
  <c r="C339" i="6"/>
  <c r="R338" i="6"/>
  <c r="Q338" i="6"/>
  <c r="P338" i="6"/>
  <c r="O338" i="6"/>
  <c r="N338" i="6"/>
  <c r="L338" i="6"/>
  <c r="K338" i="6"/>
  <c r="D338" i="6"/>
  <c r="C338" i="6"/>
  <c r="R337" i="6"/>
  <c r="Q337" i="6"/>
  <c r="P337" i="6"/>
  <c r="O337" i="6"/>
  <c r="N337" i="6"/>
  <c r="L337" i="6"/>
  <c r="K337" i="6"/>
  <c r="D337" i="6"/>
  <c r="C337" i="6"/>
  <c r="R336" i="6"/>
  <c r="Q336" i="6"/>
  <c r="P336" i="6"/>
  <c r="O336" i="6"/>
  <c r="N336" i="6"/>
  <c r="L336" i="6"/>
  <c r="K336" i="6"/>
  <c r="D336" i="6"/>
  <c r="C336" i="6"/>
  <c r="R335" i="6"/>
  <c r="Q335" i="6"/>
  <c r="P335" i="6"/>
  <c r="O335" i="6"/>
  <c r="N335" i="6"/>
  <c r="L335" i="6"/>
  <c r="K335" i="6"/>
  <c r="D335" i="6"/>
  <c r="C335" i="6"/>
  <c r="R334" i="6"/>
  <c r="Q334" i="6"/>
  <c r="P334" i="6"/>
  <c r="O334" i="6"/>
  <c r="N334" i="6"/>
  <c r="L334" i="6"/>
  <c r="K334" i="6"/>
  <c r="D334" i="6"/>
  <c r="C334" i="6"/>
  <c r="R333" i="6"/>
  <c r="Q333" i="6"/>
  <c r="P333" i="6"/>
  <c r="O333" i="6"/>
  <c r="N333" i="6"/>
  <c r="L333" i="6"/>
  <c r="K333" i="6"/>
  <c r="D333" i="6"/>
  <c r="C333" i="6"/>
  <c r="R332" i="6"/>
  <c r="Q332" i="6"/>
  <c r="P332" i="6"/>
  <c r="O332" i="6"/>
  <c r="N332" i="6"/>
  <c r="L332" i="6"/>
  <c r="K332" i="6"/>
  <c r="D332" i="6"/>
  <c r="C332" i="6"/>
  <c r="R331" i="6"/>
  <c r="Q331" i="6"/>
  <c r="P331" i="6"/>
  <c r="O331" i="6"/>
  <c r="N331" i="6"/>
  <c r="L331" i="6"/>
  <c r="K331" i="6"/>
  <c r="D331" i="6"/>
  <c r="C331" i="6"/>
  <c r="R330" i="6"/>
  <c r="Q330" i="6"/>
  <c r="P330" i="6"/>
  <c r="O330" i="6"/>
  <c r="N330" i="6"/>
  <c r="L330" i="6"/>
  <c r="K330" i="6"/>
  <c r="D330" i="6"/>
  <c r="C330" i="6"/>
  <c r="R329" i="6"/>
  <c r="Q329" i="6"/>
  <c r="P329" i="6"/>
  <c r="O329" i="6"/>
  <c r="N329" i="6"/>
  <c r="L329" i="6"/>
  <c r="K329" i="6"/>
  <c r="D329" i="6"/>
  <c r="C329" i="6"/>
  <c r="R328" i="6"/>
  <c r="Q328" i="6"/>
  <c r="P328" i="6"/>
  <c r="O328" i="6"/>
  <c r="N328" i="6"/>
  <c r="L328" i="6"/>
  <c r="K328" i="6"/>
  <c r="D328" i="6"/>
  <c r="C328" i="6"/>
  <c r="R327" i="6"/>
  <c r="Q327" i="6"/>
  <c r="P327" i="6"/>
  <c r="O327" i="6"/>
  <c r="N327" i="6"/>
  <c r="L327" i="6"/>
  <c r="K327" i="6"/>
  <c r="D327" i="6"/>
  <c r="C327" i="6"/>
  <c r="R326" i="6"/>
  <c r="Q326" i="6"/>
  <c r="P326" i="6"/>
  <c r="O326" i="6"/>
  <c r="N326" i="6"/>
  <c r="L326" i="6"/>
  <c r="K326" i="6"/>
  <c r="D326" i="6"/>
  <c r="C326" i="6"/>
  <c r="R325" i="6"/>
  <c r="Q325" i="6"/>
  <c r="P325" i="6"/>
  <c r="O325" i="6"/>
  <c r="N325" i="6"/>
  <c r="L325" i="6"/>
  <c r="K325" i="6"/>
  <c r="D325" i="6"/>
  <c r="C325" i="6"/>
  <c r="R324" i="6"/>
  <c r="Q324" i="6"/>
  <c r="P324" i="6"/>
  <c r="O324" i="6"/>
  <c r="N324" i="6"/>
  <c r="L324" i="6"/>
  <c r="K324" i="6"/>
  <c r="D324" i="6"/>
  <c r="C324" i="6"/>
  <c r="R323" i="6"/>
  <c r="Q323" i="6"/>
  <c r="P323" i="6"/>
  <c r="O323" i="6"/>
  <c r="N323" i="6"/>
  <c r="L323" i="6"/>
  <c r="K323" i="6"/>
  <c r="D323" i="6"/>
  <c r="C323" i="6"/>
  <c r="R322" i="6"/>
  <c r="Q322" i="6"/>
  <c r="P322" i="6"/>
  <c r="O322" i="6"/>
  <c r="N322" i="6"/>
  <c r="L322" i="6"/>
  <c r="K322" i="6"/>
  <c r="D322" i="6"/>
  <c r="C322" i="6"/>
  <c r="R321" i="6"/>
  <c r="Q321" i="6"/>
  <c r="P321" i="6"/>
  <c r="O321" i="6"/>
  <c r="N321" i="6"/>
  <c r="L321" i="6"/>
  <c r="K321" i="6"/>
  <c r="D321" i="6"/>
  <c r="C321" i="6"/>
  <c r="R320" i="6"/>
  <c r="Q320" i="6"/>
  <c r="P320" i="6"/>
  <c r="O320" i="6"/>
  <c r="N320" i="6"/>
  <c r="L320" i="6"/>
  <c r="K320" i="6"/>
  <c r="D320" i="6"/>
  <c r="C320" i="6"/>
  <c r="R319" i="6"/>
  <c r="Q319" i="6"/>
  <c r="P319" i="6"/>
  <c r="O319" i="6"/>
  <c r="N319" i="6"/>
  <c r="L319" i="6"/>
  <c r="K319" i="6"/>
  <c r="D319" i="6"/>
  <c r="C319" i="6"/>
  <c r="R318" i="6"/>
  <c r="Q318" i="6"/>
  <c r="P318" i="6"/>
  <c r="O318" i="6"/>
  <c r="N318" i="6"/>
  <c r="L318" i="6"/>
  <c r="K318" i="6"/>
  <c r="D318" i="6"/>
  <c r="C318" i="6"/>
  <c r="R317" i="6"/>
  <c r="Q317" i="6"/>
  <c r="P317" i="6"/>
  <c r="O317" i="6"/>
  <c r="N317" i="6"/>
  <c r="L317" i="6"/>
  <c r="K317" i="6"/>
  <c r="D317" i="6"/>
  <c r="C317" i="6"/>
  <c r="R316" i="6"/>
  <c r="Q316" i="6"/>
  <c r="P316" i="6"/>
  <c r="O316" i="6"/>
  <c r="N316" i="6"/>
  <c r="L316" i="6"/>
  <c r="K316" i="6"/>
  <c r="D316" i="6"/>
  <c r="C316" i="6"/>
  <c r="R315" i="6"/>
  <c r="Q315" i="6"/>
  <c r="P315" i="6"/>
  <c r="O315" i="6"/>
  <c r="N315" i="6"/>
  <c r="L315" i="6"/>
  <c r="K315" i="6"/>
  <c r="D315" i="6"/>
  <c r="C315" i="6"/>
  <c r="R314" i="6"/>
  <c r="Q314" i="6"/>
  <c r="P314" i="6"/>
  <c r="O314" i="6"/>
  <c r="N314" i="6"/>
  <c r="L314" i="6"/>
  <c r="K314" i="6"/>
  <c r="D314" i="6"/>
  <c r="C314" i="6"/>
  <c r="R313" i="6"/>
  <c r="Q313" i="6"/>
  <c r="P313" i="6"/>
  <c r="O313" i="6"/>
  <c r="N313" i="6"/>
  <c r="L313" i="6"/>
  <c r="K313" i="6"/>
  <c r="D313" i="6"/>
  <c r="C313" i="6"/>
  <c r="R312" i="6"/>
  <c r="Q312" i="6"/>
  <c r="P312" i="6"/>
  <c r="O312" i="6"/>
  <c r="N312" i="6"/>
  <c r="L312" i="6"/>
  <c r="K312" i="6"/>
  <c r="D312" i="6"/>
  <c r="C312" i="6"/>
  <c r="R311" i="6"/>
  <c r="Q311" i="6"/>
  <c r="P311" i="6"/>
  <c r="O311" i="6"/>
  <c r="N311" i="6"/>
  <c r="L311" i="6"/>
  <c r="K311" i="6"/>
  <c r="D311" i="6"/>
  <c r="C311" i="6"/>
  <c r="R310" i="6"/>
  <c r="Q310" i="6"/>
  <c r="P310" i="6"/>
  <c r="O310" i="6"/>
  <c r="N310" i="6"/>
  <c r="L310" i="6"/>
  <c r="K310" i="6"/>
  <c r="D310" i="6"/>
  <c r="C310" i="6"/>
  <c r="R309" i="6"/>
  <c r="Q309" i="6"/>
  <c r="P309" i="6"/>
  <c r="O309" i="6"/>
  <c r="N309" i="6"/>
  <c r="L309" i="6"/>
  <c r="K309" i="6"/>
  <c r="D309" i="6"/>
  <c r="C309" i="6"/>
  <c r="R308" i="6"/>
  <c r="Q308" i="6"/>
  <c r="P308" i="6"/>
  <c r="O308" i="6"/>
  <c r="N308" i="6"/>
  <c r="L308" i="6"/>
  <c r="K308" i="6"/>
  <c r="D308" i="6"/>
  <c r="C308" i="6"/>
  <c r="R307" i="6"/>
  <c r="Q307" i="6"/>
  <c r="P307" i="6"/>
  <c r="O307" i="6"/>
  <c r="N307" i="6"/>
  <c r="L307" i="6"/>
  <c r="K307" i="6"/>
  <c r="D307" i="6"/>
  <c r="C307" i="6"/>
  <c r="R306" i="6"/>
  <c r="Q306" i="6"/>
  <c r="P306" i="6"/>
  <c r="O306" i="6"/>
  <c r="N306" i="6"/>
  <c r="L306" i="6"/>
  <c r="K306" i="6"/>
  <c r="D306" i="6"/>
  <c r="C306" i="6"/>
  <c r="R305" i="6"/>
  <c r="Q305" i="6"/>
  <c r="P305" i="6"/>
  <c r="O305" i="6"/>
  <c r="N305" i="6"/>
  <c r="L305" i="6"/>
  <c r="K305" i="6"/>
  <c r="D305" i="6"/>
  <c r="C305" i="6"/>
  <c r="R304" i="6"/>
  <c r="Q304" i="6"/>
  <c r="P304" i="6"/>
  <c r="O304" i="6"/>
  <c r="N304" i="6"/>
  <c r="L304" i="6"/>
  <c r="K304" i="6"/>
  <c r="D304" i="6"/>
  <c r="C304" i="6"/>
  <c r="R303" i="6"/>
  <c r="Q303" i="6"/>
  <c r="P303" i="6"/>
  <c r="O303" i="6"/>
  <c r="N303" i="6"/>
  <c r="L303" i="6"/>
  <c r="K303" i="6"/>
  <c r="D303" i="6"/>
  <c r="C303" i="6"/>
  <c r="R302" i="6"/>
  <c r="Q302" i="6"/>
  <c r="P302" i="6"/>
  <c r="O302" i="6"/>
  <c r="N302" i="6"/>
  <c r="L302" i="6"/>
  <c r="K302" i="6"/>
  <c r="D302" i="6"/>
  <c r="C302" i="6"/>
  <c r="R301" i="6"/>
  <c r="Q301" i="6"/>
  <c r="P301" i="6"/>
  <c r="O301" i="6"/>
  <c r="N301" i="6"/>
  <c r="L301" i="6"/>
  <c r="K301" i="6"/>
  <c r="D301" i="6"/>
  <c r="C301" i="6"/>
  <c r="R300" i="6"/>
  <c r="Q300" i="6"/>
  <c r="P300" i="6"/>
  <c r="O300" i="6"/>
  <c r="N300" i="6"/>
  <c r="L300" i="6"/>
  <c r="K300" i="6"/>
  <c r="D300" i="6"/>
  <c r="C300" i="6"/>
  <c r="R299" i="6"/>
  <c r="Q299" i="6"/>
  <c r="P299" i="6"/>
  <c r="O299" i="6"/>
  <c r="N299" i="6"/>
  <c r="L299" i="6"/>
  <c r="K299" i="6"/>
  <c r="D299" i="6"/>
  <c r="C299" i="6"/>
  <c r="R298" i="6"/>
  <c r="Q298" i="6"/>
  <c r="P298" i="6"/>
  <c r="O298" i="6"/>
  <c r="N298" i="6"/>
  <c r="L298" i="6"/>
  <c r="K298" i="6"/>
  <c r="D298" i="6"/>
  <c r="C298" i="6"/>
  <c r="R297" i="6"/>
  <c r="Q297" i="6"/>
  <c r="P297" i="6"/>
  <c r="O297" i="6"/>
  <c r="N297" i="6"/>
  <c r="L297" i="6"/>
  <c r="K297" i="6"/>
  <c r="D297" i="6"/>
  <c r="C297" i="6"/>
  <c r="R296" i="6"/>
  <c r="Q296" i="6"/>
  <c r="P296" i="6"/>
  <c r="O296" i="6"/>
  <c r="N296" i="6"/>
  <c r="L296" i="6"/>
  <c r="K296" i="6"/>
  <c r="D296" i="6"/>
  <c r="C296" i="6"/>
  <c r="R295" i="6"/>
  <c r="Q295" i="6"/>
  <c r="P295" i="6"/>
  <c r="O295" i="6"/>
  <c r="N295" i="6"/>
  <c r="L295" i="6"/>
  <c r="K295" i="6"/>
  <c r="D295" i="6"/>
  <c r="C295" i="6"/>
  <c r="R294" i="6"/>
  <c r="Q294" i="6"/>
  <c r="P294" i="6"/>
  <c r="O294" i="6"/>
  <c r="N294" i="6"/>
  <c r="L294" i="6"/>
  <c r="K294" i="6"/>
  <c r="D294" i="6"/>
  <c r="C294" i="6"/>
  <c r="R293" i="6"/>
  <c r="Q293" i="6"/>
  <c r="P293" i="6"/>
  <c r="O293" i="6"/>
  <c r="N293" i="6"/>
  <c r="L293" i="6"/>
  <c r="K293" i="6"/>
  <c r="D293" i="6"/>
  <c r="C293" i="6"/>
  <c r="R292" i="6"/>
  <c r="Q292" i="6"/>
  <c r="P292" i="6"/>
  <c r="O292" i="6"/>
  <c r="N292" i="6"/>
  <c r="L292" i="6"/>
  <c r="K292" i="6"/>
  <c r="D292" i="6"/>
  <c r="C292" i="6"/>
  <c r="R291" i="6"/>
  <c r="Q291" i="6"/>
  <c r="P291" i="6"/>
  <c r="O291" i="6"/>
  <c r="N291" i="6"/>
  <c r="L291" i="6"/>
  <c r="K291" i="6"/>
  <c r="D291" i="6"/>
  <c r="C291" i="6"/>
  <c r="R290" i="6"/>
  <c r="Q290" i="6"/>
  <c r="P290" i="6"/>
  <c r="O290" i="6"/>
  <c r="N290" i="6"/>
  <c r="L290" i="6"/>
  <c r="K290" i="6"/>
  <c r="D290" i="6"/>
  <c r="C290" i="6"/>
  <c r="R289" i="6"/>
  <c r="Q289" i="6"/>
  <c r="P289" i="6"/>
  <c r="O289" i="6"/>
  <c r="N289" i="6"/>
  <c r="L289" i="6"/>
  <c r="K289" i="6"/>
  <c r="D289" i="6"/>
  <c r="C289" i="6"/>
  <c r="R288" i="6"/>
  <c r="Q288" i="6"/>
  <c r="P288" i="6"/>
  <c r="O288" i="6"/>
  <c r="N288" i="6"/>
  <c r="L288" i="6"/>
  <c r="K288" i="6"/>
  <c r="D288" i="6"/>
  <c r="C288" i="6"/>
  <c r="R287" i="6"/>
  <c r="Q287" i="6"/>
  <c r="P287" i="6"/>
  <c r="O287" i="6"/>
  <c r="N287" i="6"/>
  <c r="L287" i="6"/>
  <c r="K287" i="6"/>
  <c r="D287" i="6"/>
  <c r="C287" i="6"/>
  <c r="R286" i="6"/>
  <c r="Q286" i="6"/>
  <c r="P286" i="6"/>
  <c r="O286" i="6"/>
  <c r="N286" i="6"/>
  <c r="L286" i="6"/>
  <c r="K286" i="6"/>
  <c r="D286" i="6"/>
  <c r="C286" i="6"/>
  <c r="R285" i="6"/>
  <c r="Q285" i="6"/>
  <c r="P285" i="6"/>
  <c r="O285" i="6"/>
  <c r="N285" i="6"/>
  <c r="L285" i="6"/>
  <c r="K285" i="6"/>
  <c r="D285" i="6"/>
  <c r="C285" i="6"/>
  <c r="R284" i="6"/>
  <c r="Q284" i="6"/>
  <c r="P284" i="6"/>
  <c r="O284" i="6"/>
  <c r="N284" i="6"/>
  <c r="L284" i="6"/>
  <c r="K284" i="6"/>
  <c r="D284" i="6"/>
  <c r="C284" i="6"/>
  <c r="R283" i="6"/>
  <c r="Q283" i="6"/>
  <c r="P283" i="6"/>
  <c r="O283" i="6"/>
  <c r="N283" i="6"/>
  <c r="L283" i="6"/>
  <c r="K283" i="6"/>
  <c r="D283" i="6"/>
  <c r="C283" i="6"/>
  <c r="R282" i="6"/>
  <c r="Q282" i="6"/>
  <c r="P282" i="6"/>
  <c r="O282" i="6"/>
  <c r="N282" i="6"/>
  <c r="L282" i="6"/>
  <c r="K282" i="6"/>
  <c r="D282" i="6"/>
  <c r="C282" i="6"/>
  <c r="R281" i="6"/>
  <c r="Q281" i="6"/>
  <c r="P281" i="6"/>
  <c r="O281" i="6"/>
  <c r="N281" i="6"/>
  <c r="L281" i="6"/>
  <c r="K281" i="6"/>
  <c r="D281" i="6"/>
  <c r="C281" i="6"/>
  <c r="R280" i="6"/>
  <c r="Q280" i="6"/>
  <c r="P280" i="6"/>
  <c r="O280" i="6"/>
  <c r="N280" i="6"/>
  <c r="L280" i="6"/>
  <c r="K280" i="6"/>
  <c r="D280" i="6"/>
  <c r="C280" i="6"/>
  <c r="R279" i="6"/>
  <c r="Q279" i="6"/>
  <c r="P279" i="6"/>
  <c r="O279" i="6"/>
  <c r="N279" i="6"/>
  <c r="L279" i="6"/>
  <c r="K279" i="6"/>
  <c r="D279" i="6"/>
  <c r="C279" i="6"/>
  <c r="R278" i="6"/>
  <c r="Q278" i="6"/>
  <c r="P278" i="6"/>
  <c r="O278" i="6"/>
  <c r="N278" i="6"/>
  <c r="L278" i="6"/>
  <c r="K278" i="6"/>
  <c r="D278" i="6"/>
  <c r="C278" i="6"/>
  <c r="R277" i="6"/>
  <c r="Q277" i="6"/>
  <c r="P277" i="6"/>
  <c r="O277" i="6"/>
  <c r="N277" i="6"/>
  <c r="L277" i="6"/>
  <c r="K277" i="6"/>
  <c r="D277" i="6"/>
  <c r="C277" i="6"/>
  <c r="R276" i="6"/>
  <c r="Q276" i="6"/>
  <c r="P276" i="6"/>
  <c r="O276" i="6"/>
  <c r="N276" i="6"/>
  <c r="L276" i="6"/>
  <c r="K276" i="6"/>
  <c r="D276" i="6"/>
  <c r="C276" i="6"/>
  <c r="R275" i="6"/>
  <c r="Q275" i="6"/>
  <c r="P275" i="6"/>
  <c r="O275" i="6"/>
  <c r="N275" i="6"/>
  <c r="L275" i="6"/>
  <c r="K275" i="6"/>
  <c r="D275" i="6"/>
  <c r="C275" i="6"/>
  <c r="R274" i="6"/>
  <c r="Q274" i="6"/>
  <c r="P274" i="6"/>
  <c r="O274" i="6"/>
  <c r="N274" i="6"/>
  <c r="L274" i="6"/>
  <c r="K274" i="6"/>
  <c r="D274" i="6"/>
  <c r="C274" i="6"/>
  <c r="R273" i="6"/>
  <c r="Q273" i="6"/>
  <c r="P273" i="6"/>
  <c r="O273" i="6"/>
  <c r="N273" i="6"/>
  <c r="L273" i="6"/>
  <c r="K273" i="6"/>
  <c r="D273" i="6"/>
  <c r="C273" i="6"/>
  <c r="R272" i="6"/>
  <c r="Q272" i="6"/>
  <c r="P272" i="6"/>
  <c r="O272" i="6"/>
  <c r="N272" i="6"/>
  <c r="L272" i="6"/>
  <c r="K272" i="6"/>
  <c r="D272" i="6"/>
  <c r="C272" i="6"/>
  <c r="R271" i="6"/>
  <c r="Q271" i="6"/>
  <c r="P271" i="6"/>
  <c r="O271" i="6"/>
  <c r="N271" i="6"/>
  <c r="L271" i="6"/>
  <c r="K271" i="6"/>
  <c r="D271" i="6"/>
  <c r="C271" i="6"/>
  <c r="R270" i="6"/>
  <c r="Q270" i="6"/>
  <c r="P270" i="6"/>
  <c r="O270" i="6"/>
  <c r="N270" i="6"/>
  <c r="L270" i="6"/>
  <c r="K270" i="6"/>
  <c r="D270" i="6"/>
  <c r="C270" i="6"/>
  <c r="R269" i="6"/>
  <c r="Q269" i="6"/>
  <c r="P269" i="6"/>
  <c r="O269" i="6"/>
  <c r="N269" i="6"/>
  <c r="L269" i="6"/>
  <c r="K269" i="6"/>
  <c r="D269" i="6"/>
  <c r="C269" i="6"/>
  <c r="R268" i="6"/>
  <c r="Q268" i="6"/>
  <c r="P268" i="6"/>
  <c r="O268" i="6"/>
  <c r="N268" i="6"/>
  <c r="L268" i="6"/>
  <c r="K268" i="6"/>
  <c r="D268" i="6"/>
  <c r="C268" i="6"/>
  <c r="R267" i="6"/>
  <c r="Q267" i="6"/>
  <c r="P267" i="6"/>
  <c r="O267" i="6"/>
  <c r="N267" i="6"/>
  <c r="L267" i="6"/>
  <c r="K267" i="6"/>
  <c r="D267" i="6"/>
  <c r="C267" i="6"/>
  <c r="R266" i="6"/>
  <c r="Q266" i="6"/>
  <c r="P266" i="6"/>
  <c r="O266" i="6"/>
  <c r="N266" i="6"/>
  <c r="L266" i="6"/>
  <c r="K266" i="6"/>
  <c r="D266" i="6"/>
  <c r="C266" i="6"/>
  <c r="R265" i="6"/>
  <c r="Q265" i="6"/>
  <c r="P265" i="6"/>
  <c r="O265" i="6"/>
  <c r="N265" i="6"/>
  <c r="L265" i="6"/>
  <c r="K265" i="6"/>
  <c r="D265" i="6"/>
  <c r="C265" i="6"/>
  <c r="R264" i="6"/>
  <c r="Q264" i="6"/>
  <c r="P264" i="6"/>
  <c r="O264" i="6"/>
  <c r="N264" i="6"/>
  <c r="L264" i="6"/>
  <c r="K264" i="6"/>
  <c r="D264" i="6"/>
  <c r="C264" i="6"/>
  <c r="R263" i="6"/>
  <c r="Q263" i="6"/>
  <c r="P263" i="6"/>
  <c r="O263" i="6"/>
  <c r="N263" i="6"/>
  <c r="L263" i="6"/>
  <c r="K263" i="6"/>
  <c r="D263" i="6"/>
  <c r="C263" i="6"/>
  <c r="R262" i="6"/>
  <c r="Q262" i="6"/>
  <c r="P262" i="6"/>
  <c r="O262" i="6"/>
  <c r="N262" i="6"/>
  <c r="L262" i="6"/>
  <c r="K262" i="6"/>
  <c r="D262" i="6"/>
  <c r="C262" i="6"/>
  <c r="R261" i="6"/>
  <c r="Q261" i="6"/>
  <c r="P261" i="6"/>
  <c r="O261" i="6"/>
  <c r="N261" i="6"/>
  <c r="L261" i="6"/>
  <c r="K261" i="6"/>
  <c r="D261" i="6"/>
  <c r="C261" i="6"/>
  <c r="R260" i="6"/>
  <c r="Q260" i="6"/>
  <c r="P260" i="6"/>
  <c r="O260" i="6"/>
  <c r="N260" i="6"/>
  <c r="L260" i="6"/>
  <c r="K260" i="6"/>
  <c r="D260" i="6"/>
  <c r="C260" i="6"/>
  <c r="R259" i="6"/>
  <c r="Q259" i="6"/>
  <c r="P259" i="6"/>
  <c r="O259" i="6"/>
  <c r="N259" i="6"/>
  <c r="L259" i="6"/>
  <c r="K259" i="6"/>
  <c r="D259" i="6"/>
  <c r="C259" i="6"/>
  <c r="R258" i="6"/>
  <c r="Q258" i="6"/>
  <c r="P258" i="6"/>
  <c r="O258" i="6"/>
  <c r="N258" i="6"/>
  <c r="L258" i="6"/>
  <c r="K258" i="6"/>
  <c r="D258" i="6"/>
  <c r="C258" i="6"/>
  <c r="R257" i="6"/>
  <c r="Q257" i="6"/>
  <c r="P257" i="6"/>
  <c r="O257" i="6"/>
  <c r="N257" i="6"/>
  <c r="L257" i="6"/>
  <c r="K257" i="6"/>
  <c r="D257" i="6"/>
  <c r="C257" i="6"/>
  <c r="R256" i="6"/>
  <c r="Q256" i="6"/>
  <c r="P256" i="6"/>
  <c r="O256" i="6"/>
  <c r="N256" i="6"/>
  <c r="L256" i="6"/>
  <c r="K256" i="6"/>
  <c r="D256" i="6"/>
  <c r="C256" i="6"/>
  <c r="R255" i="6"/>
  <c r="Q255" i="6"/>
  <c r="P255" i="6"/>
  <c r="O255" i="6"/>
  <c r="N255" i="6"/>
  <c r="L255" i="6"/>
  <c r="K255" i="6"/>
  <c r="D255" i="6"/>
  <c r="C255" i="6"/>
  <c r="R254" i="6"/>
  <c r="Q254" i="6"/>
  <c r="P254" i="6"/>
  <c r="O254" i="6"/>
  <c r="N254" i="6"/>
  <c r="L254" i="6"/>
  <c r="K254" i="6"/>
  <c r="D254" i="6"/>
  <c r="C254" i="6"/>
  <c r="R253" i="6"/>
  <c r="Q253" i="6"/>
  <c r="P253" i="6"/>
  <c r="O253" i="6"/>
  <c r="N253" i="6"/>
  <c r="L253" i="6"/>
  <c r="K253" i="6"/>
  <c r="D253" i="6"/>
  <c r="C253" i="6"/>
  <c r="R252" i="6"/>
  <c r="Q252" i="6"/>
  <c r="P252" i="6"/>
  <c r="O252" i="6"/>
  <c r="N252" i="6"/>
  <c r="L252" i="6"/>
  <c r="K252" i="6"/>
  <c r="D252" i="6"/>
  <c r="C252" i="6"/>
  <c r="R251" i="6"/>
  <c r="Q251" i="6"/>
  <c r="P251" i="6"/>
  <c r="O251" i="6"/>
  <c r="N251" i="6"/>
  <c r="L251" i="6"/>
  <c r="K251" i="6"/>
  <c r="D251" i="6"/>
  <c r="C251" i="6"/>
  <c r="R250" i="6"/>
  <c r="Q250" i="6"/>
  <c r="P250" i="6"/>
  <c r="O250" i="6"/>
  <c r="N250" i="6"/>
  <c r="L250" i="6"/>
  <c r="K250" i="6"/>
  <c r="D250" i="6"/>
  <c r="C250" i="6"/>
  <c r="R249" i="6"/>
  <c r="Q249" i="6"/>
  <c r="P249" i="6"/>
  <c r="O249" i="6"/>
  <c r="N249" i="6"/>
  <c r="L249" i="6"/>
  <c r="K249" i="6"/>
  <c r="D249" i="6"/>
  <c r="C249" i="6"/>
  <c r="R248" i="6"/>
  <c r="Q248" i="6"/>
  <c r="P248" i="6"/>
  <c r="O248" i="6"/>
  <c r="N248" i="6"/>
  <c r="L248" i="6"/>
  <c r="K248" i="6"/>
  <c r="D248" i="6"/>
  <c r="C248" i="6"/>
  <c r="R247" i="6"/>
  <c r="Q247" i="6"/>
  <c r="P247" i="6"/>
  <c r="O247" i="6"/>
  <c r="N247" i="6"/>
  <c r="L247" i="6"/>
  <c r="K247" i="6"/>
  <c r="D247" i="6"/>
  <c r="C247" i="6"/>
  <c r="R246" i="6"/>
  <c r="Q246" i="6"/>
  <c r="P246" i="6"/>
  <c r="O246" i="6"/>
  <c r="N246" i="6"/>
  <c r="L246" i="6"/>
  <c r="K246" i="6"/>
  <c r="D246" i="6"/>
  <c r="C246" i="6"/>
  <c r="R245" i="6"/>
  <c r="Q245" i="6"/>
  <c r="P245" i="6"/>
  <c r="O245" i="6"/>
  <c r="N245" i="6"/>
  <c r="L245" i="6"/>
  <c r="K245" i="6"/>
  <c r="D245" i="6"/>
  <c r="C245" i="6"/>
  <c r="R244" i="6"/>
  <c r="Q244" i="6"/>
  <c r="P244" i="6"/>
  <c r="O244" i="6"/>
  <c r="N244" i="6"/>
  <c r="L244" i="6"/>
  <c r="K244" i="6"/>
  <c r="D244" i="6"/>
  <c r="C244" i="6"/>
  <c r="R243" i="6"/>
  <c r="Q243" i="6"/>
  <c r="P243" i="6"/>
  <c r="O243" i="6"/>
  <c r="N243" i="6"/>
  <c r="L243" i="6"/>
  <c r="K243" i="6"/>
  <c r="D243" i="6"/>
  <c r="C243" i="6"/>
  <c r="R242" i="6"/>
  <c r="Q242" i="6"/>
  <c r="P242" i="6"/>
  <c r="O242" i="6"/>
  <c r="N242" i="6"/>
  <c r="L242" i="6"/>
  <c r="K242" i="6"/>
  <c r="D242" i="6"/>
  <c r="C242" i="6"/>
  <c r="R241" i="6"/>
  <c r="Q241" i="6"/>
  <c r="P241" i="6"/>
  <c r="O241" i="6"/>
  <c r="N241" i="6"/>
  <c r="L241" i="6"/>
  <c r="K241" i="6"/>
  <c r="D241" i="6"/>
  <c r="C241" i="6"/>
  <c r="R240" i="6"/>
  <c r="Q240" i="6"/>
  <c r="P240" i="6"/>
  <c r="O240" i="6"/>
  <c r="N240" i="6"/>
  <c r="L240" i="6"/>
  <c r="K240" i="6"/>
  <c r="D240" i="6"/>
  <c r="C240" i="6"/>
  <c r="R239" i="6"/>
  <c r="Q239" i="6"/>
  <c r="P239" i="6"/>
  <c r="O239" i="6"/>
  <c r="N239" i="6"/>
  <c r="L239" i="6"/>
  <c r="K239" i="6"/>
  <c r="D239" i="6"/>
  <c r="C239" i="6"/>
  <c r="R238" i="6"/>
  <c r="Q238" i="6"/>
  <c r="P238" i="6"/>
  <c r="O238" i="6"/>
  <c r="N238" i="6"/>
  <c r="L238" i="6"/>
  <c r="K238" i="6"/>
  <c r="D238" i="6"/>
  <c r="C238" i="6"/>
  <c r="R237" i="6"/>
  <c r="Q237" i="6"/>
  <c r="P237" i="6"/>
  <c r="O237" i="6"/>
  <c r="N237" i="6"/>
  <c r="L237" i="6"/>
  <c r="K237" i="6"/>
  <c r="D237" i="6"/>
  <c r="C237" i="6"/>
  <c r="R236" i="6"/>
  <c r="Q236" i="6"/>
  <c r="P236" i="6"/>
  <c r="O236" i="6"/>
  <c r="N236" i="6"/>
  <c r="L236" i="6"/>
  <c r="K236" i="6"/>
  <c r="D236" i="6"/>
  <c r="C236" i="6"/>
  <c r="R235" i="6"/>
  <c r="Q235" i="6"/>
  <c r="P235" i="6"/>
  <c r="O235" i="6"/>
  <c r="N235" i="6"/>
  <c r="L235" i="6"/>
  <c r="K235" i="6"/>
  <c r="D235" i="6"/>
  <c r="C235" i="6"/>
  <c r="R234" i="6"/>
  <c r="Q234" i="6"/>
  <c r="P234" i="6"/>
  <c r="O234" i="6"/>
  <c r="N234" i="6"/>
  <c r="L234" i="6"/>
  <c r="K234" i="6"/>
  <c r="D234" i="6"/>
  <c r="C234" i="6"/>
  <c r="R233" i="6"/>
  <c r="Q233" i="6"/>
  <c r="P233" i="6"/>
  <c r="O233" i="6"/>
  <c r="N233" i="6"/>
  <c r="L233" i="6"/>
  <c r="K233" i="6"/>
  <c r="D233" i="6"/>
  <c r="C233" i="6"/>
  <c r="R232" i="6"/>
  <c r="Q232" i="6"/>
  <c r="P232" i="6"/>
  <c r="O232" i="6"/>
  <c r="N232" i="6"/>
  <c r="L232" i="6"/>
  <c r="K232" i="6"/>
  <c r="D232" i="6"/>
  <c r="C232" i="6"/>
  <c r="R231" i="6"/>
  <c r="Q231" i="6"/>
  <c r="P231" i="6"/>
  <c r="O231" i="6"/>
  <c r="N231" i="6"/>
  <c r="L231" i="6"/>
  <c r="K231" i="6"/>
  <c r="D231" i="6"/>
  <c r="C231" i="6"/>
  <c r="R230" i="6"/>
  <c r="Q230" i="6"/>
  <c r="P230" i="6"/>
  <c r="O230" i="6"/>
  <c r="N230" i="6"/>
  <c r="L230" i="6"/>
  <c r="K230" i="6"/>
  <c r="D230" i="6"/>
  <c r="C230" i="6"/>
  <c r="R229" i="6"/>
  <c r="Q229" i="6"/>
  <c r="P229" i="6"/>
  <c r="O229" i="6"/>
  <c r="N229" i="6"/>
  <c r="L229" i="6"/>
  <c r="K229" i="6"/>
  <c r="D229" i="6"/>
  <c r="C229" i="6"/>
  <c r="R228" i="6"/>
  <c r="Q228" i="6"/>
  <c r="P228" i="6"/>
  <c r="O228" i="6"/>
  <c r="N228" i="6"/>
  <c r="L228" i="6"/>
  <c r="K228" i="6"/>
  <c r="D228" i="6"/>
  <c r="C228" i="6"/>
  <c r="R227" i="6"/>
  <c r="Q227" i="6"/>
  <c r="P227" i="6"/>
  <c r="O227" i="6"/>
  <c r="N227" i="6"/>
  <c r="L227" i="6"/>
  <c r="K227" i="6"/>
  <c r="D227" i="6"/>
  <c r="C227" i="6"/>
  <c r="R226" i="6"/>
  <c r="Q226" i="6"/>
  <c r="P226" i="6"/>
  <c r="O226" i="6"/>
  <c r="N226" i="6"/>
  <c r="L226" i="6"/>
  <c r="K226" i="6"/>
  <c r="D226" i="6"/>
  <c r="C226" i="6"/>
  <c r="R225" i="6"/>
  <c r="Q225" i="6"/>
  <c r="P225" i="6"/>
  <c r="O225" i="6"/>
  <c r="N225" i="6"/>
  <c r="L225" i="6"/>
  <c r="K225" i="6"/>
  <c r="D225" i="6"/>
  <c r="C225" i="6"/>
  <c r="R224" i="6"/>
  <c r="Q224" i="6"/>
  <c r="P224" i="6"/>
  <c r="O224" i="6"/>
  <c r="N224" i="6"/>
  <c r="L224" i="6"/>
  <c r="K224" i="6"/>
  <c r="D224" i="6"/>
  <c r="C224" i="6"/>
  <c r="R223" i="6"/>
  <c r="Q223" i="6"/>
  <c r="P223" i="6"/>
  <c r="O223" i="6"/>
  <c r="N223" i="6"/>
  <c r="L223" i="6"/>
  <c r="K223" i="6"/>
  <c r="D223" i="6"/>
  <c r="C223" i="6"/>
  <c r="R222" i="6"/>
  <c r="Q222" i="6"/>
  <c r="P222" i="6"/>
  <c r="O222" i="6"/>
  <c r="N222" i="6"/>
  <c r="L222" i="6"/>
  <c r="K222" i="6"/>
  <c r="D222" i="6"/>
  <c r="C222" i="6"/>
  <c r="R221" i="6"/>
  <c r="Q221" i="6"/>
  <c r="P221" i="6"/>
  <c r="O221" i="6"/>
  <c r="N221" i="6"/>
  <c r="L221" i="6"/>
  <c r="K221" i="6"/>
  <c r="D221" i="6"/>
  <c r="C221" i="6"/>
  <c r="R220" i="6"/>
  <c r="Q220" i="6"/>
  <c r="P220" i="6"/>
  <c r="O220" i="6"/>
  <c r="N220" i="6"/>
  <c r="L220" i="6"/>
  <c r="K220" i="6"/>
  <c r="D220" i="6"/>
  <c r="C220" i="6"/>
  <c r="R219" i="6"/>
  <c r="Q219" i="6"/>
  <c r="P219" i="6"/>
  <c r="O219" i="6"/>
  <c r="N219" i="6"/>
  <c r="L219" i="6"/>
  <c r="K219" i="6"/>
  <c r="D219" i="6"/>
  <c r="C219" i="6"/>
  <c r="R218" i="6"/>
  <c r="Q218" i="6"/>
  <c r="P218" i="6"/>
  <c r="O218" i="6"/>
  <c r="N218" i="6"/>
  <c r="L218" i="6"/>
  <c r="K218" i="6"/>
  <c r="D218" i="6"/>
  <c r="C218" i="6"/>
  <c r="R217" i="6"/>
  <c r="Q217" i="6"/>
  <c r="P217" i="6"/>
  <c r="O217" i="6"/>
  <c r="N217" i="6"/>
  <c r="L217" i="6"/>
  <c r="K217" i="6"/>
  <c r="D217" i="6"/>
  <c r="C217" i="6"/>
  <c r="R216" i="6"/>
  <c r="Q216" i="6"/>
  <c r="P216" i="6"/>
  <c r="O216" i="6"/>
  <c r="N216" i="6"/>
  <c r="L216" i="6"/>
  <c r="K216" i="6"/>
  <c r="D216" i="6"/>
  <c r="C216" i="6"/>
  <c r="R215" i="6"/>
  <c r="Q215" i="6"/>
  <c r="P215" i="6"/>
  <c r="O215" i="6"/>
  <c r="N215" i="6"/>
  <c r="L215" i="6"/>
  <c r="K215" i="6"/>
  <c r="D215" i="6"/>
  <c r="C215" i="6"/>
  <c r="R214" i="6"/>
  <c r="Q214" i="6"/>
  <c r="P214" i="6"/>
  <c r="O214" i="6"/>
  <c r="N214" i="6"/>
  <c r="L214" i="6"/>
  <c r="K214" i="6"/>
  <c r="D214" i="6"/>
  <c r="C214" i="6"/>
  <c r="R213" i="6"/>
  <c r="Q213" i="6"/>
  <c r="P213" i="6"/>
  <c r="O213" i="6"/>
  <c r="N213" i="6"/>
  <c r="L213" i="6"/>
  <c r="K213" i="6"/>
  <c r="D213" i="6"/>
  <c r="C213" i="6"/>
  <c r="R212" i="6"/>
  <c r="Q212" i="6"/>
  <c r="P212" i="6"/>
  <c r="O212" i="6"/>
  <c r="N212" i="6"/>
  <c r="L212" i="6"/>
  <c r="K212" i="6"/>
  <c r="D212" i="6"/>
  <c r="C212" i="6"/>
  <c r="R211" i="6"/>
  <c r="Q211" i="6"/>
  <c r="P211" i="6"/>
  <c r="O211" i="6"/>
  <c r="N211" i="6"/>
  <c r="L211" i="6"/>
  <c r="K211" i="6"/>
  <c r="D211" i="6"/>
  <c r="C211" i="6"/>
  <c r="R210" i="6"/>
  <c r="Q210" i="6"/>
  <c r="P210" i="6"/>
  <c r="O210" i="6"/>
  <c r="N210" i="6"/>
  <c r="L210" i="6"/>
  <c r="K210" i="6"/>
  <c r="D210" i="6"/>
  <c r="C210" i="6"/>
  <c r="R209" i="6"/>
  <c r="Q209" i="6"/>
  <c r="P209" i="6"/>
  <c r="O209" i="6"/>
  <c r="N209" i="6"/>
  <c r="L209" i="6"/>
  <c r="K209" i="6"/>
  <c r="D209" i="6"/>
  <c r="C209" i="6"/>
  <c r="R208" i="6"/>
  <c r="Q208" i="6"/>
  <c r="P208" i="6"/>
  <c r="O208" i="6"/>
  <c r="N208" i="6"/>
  <c r="L208" i="6"/>
  <c r="K208" i="6"/>
  <c r="D208" i="6"/>
  <c r="C208" i="6"/>
  <c r="R207" i="6"/>
  <c r="Q207" i="6"/>
  <c r="P207" i="6"/>
  <c r="O207" i="6"/>
  <c r="N207" i="6"/>
  <c r="L207" i="6"/>
  <c r="K207" i="6"/>
  <c r="D207" i="6"/>
  <c r="C207" i="6"/>
  <c r="R206" i="6"/>
  <c r="Q206" i="6"/>
  <c r="P206" i="6"/>
  <c r="O206" i="6"/>
  <c r="N206" i="6"/>
  <c r="L206" i="6"/>
  <c r="K206" i="6"/>
  <c r="D206" i="6"/>
  <c r="C206" i="6"/>
  <c r="R205" i="6"/>
  <c r="Q205" i="6"/>
  <c r="P205" i="6"/>
  <c r="O205" i="6"/>
  <c r="N205" i="6"/>
  <c r="L205" i="6"/>
  <c r="K205" i="6"/>
  <c r="D205" i="6"/>
  <c r="C205" i="6"/>
  <c r="R204" i="6"/>
  <c r="Q204" i="6"/>
  <c r="P204" i="6"/>
  <c r="O204" i="6"/>
  <c r="N204" i="6"/>
  <c r="L204" i="6"/>
  <c r="K204" i="6"/>
  <c r="D204" i="6"/>
  <c r="C204" i="6"/>
  <c r="R203" i="6"/>
  <c r="Q203" i="6"/>
  <c r="P203" i="6"/>
  <c r="O203" i="6"/>
  <c r="N203" i="6"/>
  <c r="L203" i="6"/>
  <c r="K203" i="6"/>
  <c r="D203" i="6"/>
  <c r="C203" i="6"/>
  <c r="R202" i="6"/>
  <c r="Q202" i="6"/>
  <c r="P202" i="6"/>
  <c r="O202" i="6"/>
  <c r="N202" i="6"/>
  <c r="L202" i="6"/>
  <c r="K202" i="6"/>
  <c r="D202" i="6"/>
  <c r="C202" i="6"/>
  <c r="R201" i="6"/>
  <c r="Q201" i="6"/>
  <c r="P201" i="6"/>
  <c r="O201" i="6"/>
  <c r="N201" i="6"/>
  <c r="L201" i="6"/>
  <c r="K201" i="6"/>
  <c r="D201" i="6"/>
  <c r="C201" i="6"/>
  <c r="R200" i="6"/>
  <c r="Q200" i="6"/>
  <c r="P200" i="6"/>
  <c r="O200" i="6"/>
  <c r="N200" i="6"/>
  <c r="L200" i="6"/>
  <c r="K200" i="6"/>
  <c r="D200" i="6"/>
  <c r="C200" i="6"/>
  <c r="R199" i="6"/>
  <c r="Q199" i="6"/>
  <c r="P199" i="6"/>
  <c r="O199" i="6"/>
  <c r="N199" i="6"/>
  <c r="L199" i="6"/>
  <c r="K199" i="6"/>
  <c r="D199" i="6"/>
  <c r="C199" i="6"/>
  <c r="R198" i="6"/>
  <c r="Q198" i="6"/>
  <c r="P198" i="6"/>
  <c r="O198" i="6"/>
  <c r="N198" i="6"/>
  <c r="L198" i="6"/>
  <c r="K198" i="6"/>
  <c r="D198" i="6"/>
  <c r="C198" i="6"/>
  <c r="R197" i="6"/>
  <c r="Q197" i="6"/>
  <c r="P197" i="6"/>
  <c r="O197" i="6"/>
  <c r="N197" i="6"/>
  <c r="L197" i="6"/>
  <c r="K197" i="6"/>
  <c r="D197" i="6"/>
  <c r="C197" i="6"/>
  <c r="R196" i="6"/>
  <c r="Q196" i="6"/>
  <c r="P196" i="6"/>
  <c r="O196" i="6"/>
  <c r="N196" i="6"/>
  <c r="L196" i="6"/>
  <c r="K196" i="6"/>
  <c r="D196" i="6"/>
  <c r="C196" i="6"/>
  <c r="R195" i="6"/>
  <c r="Q195" i="6"/>
  <c r="P195" i="6"/>
  <c r="O195" i="6"/>
  <c r="N195" i="6"/>
  <c r="L195" i="6"/>
  <c r="K195" i="6"/>
  <c r="D195" i="6"/>
  <c r="C195" i="6"/>
  <c r="R194" i="6"/>
  <c r="Q194" i="6"/>
  <c r="P194" i="6"/>
  <c r="O194" i="6"/>
  <c r="N194" i="6"/>
  <c r="L194" i="6"/>
  <c r="K194" i="6"/>
  <c r="D194" i="6"/>
  <c r="C194" i="6"/>
  <c r="R193" i="6"/>
  <c r="Q193" i="6"/>
  <c r="P193" i="6"/>
  <c r="O193" i="6"/>
  <c r="N193" i="6"/>
  <c r="L193" i="6"/>
  <c r="K193" i="6"/>
  <c r="D193" i="6"/>
  <c r="C193" i="6"/>
  <c r="R192" i="6"/>
  <c r="Q192" i="6"/>
  <c r="P192" i="6"/>
  <c r="O192" i="6"/>
  <c r="N192" i="6"/>
  <c r="L192" i="6"/>
  <c r="K192" i="6"/>
  <c r="D192" i="6"/>
  <c r="C192" i="6"/>
  <c r="R191" i="6"/>
  <c r="Q191" i="6"/>
  <c r="P191" i="6"/>
  <c r="O191" i="6"/>
  <c r="N191" i="6"/>
  <c r="L191" i="6"/>
  <c r="K191" i="6"/>
  <c r="D191" i="6"/>
  <c r="C191" i="6"/>
  <c r="R190" i="6"/>
  <c r="Q190" i="6"/>
  <c r="P190" i="6"/>
  <c r="O190" i="6"/>
  <c r="N190" i="6"/>
  <c r="L190" i="6"/>
  <c r="K190" i="6"/>
  <c r="D190" i="6"/>
  <c r="C190" i="6"/>
  <c r="R189" i="6"/>
  <c r="Q189" i="6"/>
  <c r="P189" i="6"/>
  <c r="O189" i="6"/>
  <c r="N189" i="6"/>
  <c r="L189" i="6"/>
  <c r="K189" i="6"/>
  <c r="D189" i="6"/>
  <c r="C189" i="6"/>
  <c r="R188" i="6"/>
  <c r="Q188" i="6"/>
  <c r="P188" i="6"/>
  <c r="O188" i="6"/>
  <c r="N188" i="6"/>
  <c r="L188" i="6"/>
  <c r="K188" i="6"/>
  <c r="D188" i="6"/>
  <c r="C188" i="6"/>
  <c r="R187" i="6"/>
  <c r="Q187" i="6"/>
  <c r="P187" i="6"/>
  <c r="O187" i="6"/>
  <c r="N187" i="6"/>
  <c r="L187" i="6"/>
  <c r="K187" i="6"/>
  <c r="D187" i="6"/>
  <c r="C187" i="6"/>
  <c r="R186" i="6"/>
  <c r="Q186" i="6"/>
  <c r="P186" i="6"/>
  <c r="O186" i="6"/>
  <c r="N186" i="6"/>
  <c r="L186" i="6"/>
  <c r="K186" i="6"/>
  <c r="D186" i="6"/>
  <c r="C186" i="6"/>
  <c r="R185" i="6"/>
  <c r="Q185" i="6"/>
  <c r="P185" i="6"/>
  <c r="O185" i="6"/>
  <c r="N185" i="6"/>
  <c r="L185" i="6"/>
  <c r="K185" i="6"/>
  <c r="D185" i="6"/>
  <c r="C185" i="6"/>
  <c r="R184" i="6"/>
  <c r="Q184" i="6"/>
  <c r="P184" i="6"/>
  <c r="O184" i="6"/>
  <c r="N184" i="6"/>
  <c r="L184" i="6"/>
  <c r="K184" i="6"/>
  <c r="D184" i="6"/>
  <c r="C184" i="6"/>
  <c r="R183" i="6"/>
  <c r="Q183" i="6"/>
  <c r="P183" i="6"/>
  <c r="O183" i="6"/>
  <c r="N183" i="6"/>
  <c r="L183" i="6"/>
  <c r="K183" i="6"/>
  <c r="D183" i="6"/>
  <c r="C183" i="6"/>
  <c r="R182" i="6"/>
  <c r="Q182" i="6"/>
  <c r="P182" i="6"/>
  <c r="O182" i="6"/>
  <c r="N182" i="6"/>
  <c r="L182" i="6"/>
  <c r="K182" i="6"/>
  <c r="D182" i="6"/>
  <c r="C182" i="6"/>
  <c r="R181" i="6"/>
  <c r="Q181" i="6"/>
  <c r="P181" i="6"/>
  <c r="O181" i="6"/>
  <c r="N181" i="6"/>
  <c r="L181" i="6"/>
  <c r="K181" i="6"/>
  <c r="D181" i="6"/>
  <c r="C181" i="6"/>
  <c r="R180" i="6"/>
  <c r="Q180" i="6"/>
  <c r="P180" i="6"/>
  <c r="O180" i="6"/>
  <c r="N180" i="6"/>
  <c r="L180" i="6"/>
  <c r="K180" i="6"/>
  <c r="D180" i="6"/>
  <c r="C180" i="6"/>
  <c r="R179" i="6"/>
  <c r="Q179" i="6"/>
  <c r="P179" i="6"/>
  <c r="O179" i="6"/>
  <c r="N179" i="6"/>
  <c r="L179" i="6"/>
  <c r="K179" i="6"/>
  <c r="D179" i="6"/>
  <c r="C179" i="6"/>
  <c r="R178" i="6"/>
  <c r="Q178" i="6"/>
  <c r="P178" i="6"/>
  <c r="O178" i="6"/>
  <c r="N178" i="6"/>
  <c r="L178" i="6"/>
  <c r="K178" i="6"/>
  <c r="D178" i="6"/>
  <c r="C178" i="6"/>
  <c r="R177" i="6"/>
  <c r="Q177" i="6"/>
  <c r="P177" i="6"/>
  <c r="O177" i="6"/>
  <c r="N177" i="6"/>
  <c r="L177" i="6"/>
  <c r="K177" i="6"/>
  <c r="D177" i="6"/>
  <c r="C177" i="6"/>
  <c r="R176" i="6"/>
  <c r="Q176" i="6"/>
  <c r="P176" i="6"/>
  <c r="O176" i="6"/>
  <c r="N176" i="6"/>
  <c r="L176" i="6"/>
  <c r="K176" i="6"/>
  <c r="D176" i="6"/>
  <c r="C176" i="6"/>
  <c r="R175" i="6"/>
  <c r="Q175" i="6"/>
  <c r="P175" i="6"/>
  <c r="O175" i="6"/>
  <c r="N175" i="6"/>
  <c r="L175" i="6"/>
  <c r="K175" i="6"/>
  <c r="D175" i="6"/>
  <c r="C175" i="6"/>
  <c r="R174" i="6"/>
  <c r="Q174" i="6"/>
  <c r="P174" i="6"/>
  <c r="O174" i="6"/>
  <c r="N174" i="6"/>
  <c r="L174" i="6"/>
  <c r="K174" i="6"/>
  <c r="D174" i="6"/>
  <c r="C174" i="6"/>
  <c r="R173" i="6"/>
  <c r="Q173" i="6"/>
  <c r="P173" i="6"/>
  <c r="O173" i="6"/>
  <c r="N173" i="6"/>
  <c r="L173" i="6"/>
  <c r="K173" i="6"/>
  <c r="D173" i="6"/>
  <c r="C173" i="6"/>
  <c r="R172" i="6"/>
  <c r="Q172" i="6"/>
  <c r="P172" i="6"/>
  <c r="O172" i="6"/>
  <c r="N172" i="6"/>
  <c r="L172" i="6"/>
  <c r="K172" i="6"/>
  <c r="D172" i="6"/>
  <c r="C172" i="6"/>
  <c r="R171" i="6"/>
  <c r="Q171" i="6"/>
  <c r="P171" i="6"/>
  <c r="O171" i="6"/>
  <c r="N171" i="6"/>
  <c r="L171" i="6"/>
  <c r="K171" i="6"/>
  <c r="D171" i="6"/>
  <c r="C171" i="6"/>
  <c r="R170" i="6"/>
  <c r="Q170" i="6"/>
  <c r="P170" i="6"/>
  <c r="O170" i="6"/>
  <c r="N170" i="6"/>
  <c r="L170" i="6"/>
  <c r="K170" i="6"/>
  <c r="D170" i="6"/>
  <c r="C170" i="6"/>
  <c r="R169" i="6"/>
  <c r="Q169" i="6"/>
  <c r="P169" i="6"/>
  <c r="O169" i="6"/>
  <c r="N169" i="6"/>
  <c r="L169" i="6"/>
  <c r="K169" i="6"/>
  <c r="D169" i="6"/>
  <c r="C169" i="6"/>
  <c r="R168" i="6"/>
  <c r="Q168" i="6"/>
  <c r="P168" i="6"/>
  <c r="O168" i="6"/>
  <c r="N168" i="6"/>
  <c r="L168" i="6"/>
  <c r="K168" i="6"/>
  <c r="D168" i="6"/>
  <c r="C168" i="6"/>
  <c r="R167" i="6"/>
  <c r="Q167" i="6"/>
  <c r="P167" i="6"/>
  <c r="O167" i="6"/>
  <c r="N167" i="6"/>
  <c r="L167" i="6"/>
  <c r="K167" i="6"/>
  <c r="D167" i="6"/>
  <c r="C167" i="6"/>
  <c r="R166" i="6"/>
  <c r="Q166" i="6"/>
  <c r="P166" i="6"/>
  <c r="O166" i="6"/>
  <c r="N166" i="6"/>
  <c r="L166" i="6"/>
  <c r="K166" i="6"/>
  <c r="D166" i="6"/>
  <c r="C166" i="6"/>
  <c r="R165" i="6"/>
  <c r="Q165" i="6"/>
  <c r="P165" i="6"/>
  <c r="O165" i="6"/>
  <c r="N165" i="6"/>
  <c r="L165" i="6"/>
  <c r="K165" i="6"/>
  <c r="D165" i="6"/>
  <c r="C165" i="6"/>
  <c r="R164" i="6"/>
  <c r="Q164" i="6"/>
  <c r="P164" i="6"/>
  <c r="O164" i="6"/>
  <c r="N164" i="6"/>
  <c r="L164" i="6"/>
  <c r="K164" i="6"/>
  <c r="D164" i="6"/>
  <c r="C164" i="6"/>
  <c r="R163" i="6"/>
  <c r="Q163" i="6"/>
  <c r="P163" i="6"/>
  <c r="O163" i="6"/>
  <c r="N163" i="6"/>
  <c r="L163" i="6"/>
  <c r="K163" i="6"/>
  <c r="D163" i="6"/>
  <c r="C163" i="6"/>
  <c r="R162" i="6"/>
  <c r="Q162" i="6"/>
  <c r="P162" i="6"/>
  <c r="O162" i="6"/>
  <c r="N162" i="6"/>
  <c r="L162" i="6"/>
  <c r="K162" i="6"/>
  <c r="D162" i="6"/>
  <c r="C162" i="6"/>
  <c r="R161" i="6"/>
  <c r="Q161" i="6"/>
  <c r="P161" i="6"/>
  <c r="O161" i="6"/>
  <c r="N161" i="6"/>
  <c r="L161" i="6"/>
  <c r="K161" i="6"/>
  <c r="D161" i="6"/>
  <c r="C161" i="6"/>
  <c r="R160" i="6"/>
  <c r="Q160" i="6"/>
  <c r="P160" i="6"/>
  <c r="O160" i="6"/>
  <c r="N160" i="6"/>
  <c r="L160" i="6"/>
  <c r="K160" i="6"/>
  <c r="D160" i="6"/>
  <c r="C160" i="6"/>
  <c r="R159" i="6"/>
  <c r="Q159" i="6"/>
  <c r="P159" i="6"/>
  <c r="O159" i="6"/>
  <c r="N159" i="6"/>
  <c r="L159" i="6"/>
  <c r="K159" i="6"/>
  <c r="D159" i="6"/>
  <c r="C159" i="6"/>
  <c r="R158" i="6"/>
  <c r="Q158" i="6"/>
  <c r="P158" i="6"/>
  <c r="O158" i="6"/>
  <c r="N158" i="6"/>
  <c r="L158" i="6"/>
  <c r="K158" i="6"/>
  <c r="D158" i="6"/>
  <c r="C158" i="6"/>
  <c r="R157" i="6"/>
  <c r="Q157" i="6"/>
  <c r="P157" i="6"/>
  <c r="O157" i="6"/>
  <c r="N157" i="6"/>
  <c r="L157" i="6"/>
  <c r="K157" i="6"/>
  <c r="D157" i="6"/>
  <c r="C157" i="6"/>
  <c r="R156" i="6"/>
  <c r="Q156" i="6"/>
  <c r="P156" i="6"/>
  <c r="O156" i="6"/>
  <c r="N156" i="6"/>
  <c r="L156" i="6"/>
  <c r="K156" i="6"/>
  <c r="D156" i="6"/>
  <c r="C156" i="6"/>
  <c r="R155" i="6"/>
  <c r="Q155" i="6"/>
  <c r="P155" i="6"/>
  <c r="O155" i="6"/>
  <c r="N155" i="6"/>
  <c r="L155" i="6"/>
  <c r="K155" i="6"/>
  <c r="D155" i="6"/>
  <c r="C155" i="6"/>
  <c r="R154" i="6"/>
  <c r="Q154" i="6"/>
  <c r="P154" i="6"/>
  <c r="O154" i="6"/>
  <c r="N154" i="6"/>
  <c r="L154" i="6"/>
  <c r="K154" i="6"/>
  <c r="D154" i="6"/>
  <c r="C154" i="6"/>
  <c r="R153" i="6"/>
  <c r="Q153" i="6"/>
  <c r="P153" i="6"/>
  <c r="O153" i="6"/>
  <c r="N153" i="6"/>
  <c r="L153" i="6"/>
  <c r="K153" i="6"/>
  <c r="D153" i="6"/>
  <c r="C153" i="6"/>
  <c r="R152" i="6"/>
  <c r="Q152" i="6"/>
  <c r="P152" i="6"/>
  <c r="O152" i="6"/>
  <c r="N152" i="6"/>
  <c r="L152" i="6"/>
  <c r="K152" i="6"/>
  <c r="D152" i="6"/>
  <c r="C152" i="6"/>
  <c r="R151" i="6"/>
  <c r="Q151" i="6"/>
  <c r="P151" i="6"/>
  <c r="O151" i="6"/>
  <c r="N151" i="6"/>
  <c r="L151" i="6"/>
  <c r="K151" i="6"/>
  <c r="D151" i="6"/>
  <c r="C151" i="6"/>
  <c r="R150" i="6"/>
  <c r="Q150" i="6"/>
  <c r="P150" i="6"/>
  <c r="O150" i="6"/>
  <c r="N150" i="6"/>
  <c r="L150" i="6"/>
  <c r="K150" i="6"/>
  <c r="D150" i="6"/>
  <c r="C150" i="6"/>
  <c r="R149" i="6"/>
  <c r="Q149" i="6"/>
  <c r="P149" i="6"/>
  <c r="O149" i="6"/>
  <c r="N149" i="6"/>
  <c r="L149" i="6"/>
  <c r="K149" i="6"/>
  <c r="D149" i="6"/>
  <c r="C149" i="6"/>
  <c r="R148" i="6"/>
  <c r="Q148" i="6"/>
  <c r="P148" i="6"/>
  <c r="O148" i="6"/>
  <c r="N148" i="6"/>
  <c r="L148" i="6"/>
  <c r="K148" i="6"/>
  <c r="D148" i="6"/>
  <c r="C148" i="6"/>
  <c r="R147" i="6"/>
  <c r="Q147" i="6"/>
  <c r="P147" i="6"/>
  <c r="O147" i="6"/>
  <c r="N147" i="6"/>
  <c r="L147" i="6"/>
  <c r="K147" i="6"/>
  <c r="D147" i="6"/>
  <c r="C147" i="6"/>
  <c r="R146" i="6"/>
  <c r="Q146" i="6"/>
  <c r="P146" i="6"/>
  <c r="O146" i="6"/>
  <c r="N146" i="6"/>
  <c r="L146" i="6"/>
  <c r="K146" i="6"/>
  <c r="D146" i="6"/>
  <c r="C146" i="6"/>
  <c r="R145" i="6"/>
  <c r="Q145" i="6"/>
  <c r="P145" i="6"/>
  <c r="O145" i="6"/>
  <c r="N145" i="6"/>
  <c r="L145" i="6"/>
  <c r="K145" i="6"/>
  <c r="D145" i="6"/>
  <c r="C145" i="6"/>
  <c r="R144" i="6"/>
  <c r="Q144" i="6"/>
  <c r="P144" i="6"/>
  <c r="O144" i="6"/>
  <c r="N144" i="6"/>
  <c r="L144" i="6"/>
  <c r="K144" i="6"/>
  <c r="D144" i="6"/>
  <c r="C144" i="6"/>
  <c r="R143" i="6"/>
  <c r="Q143" i="6"/>
  <c r="P143" i="6"/>
  <c r="O143" i="6"/>
  <c r="N143" i="6"/>
  <c r="L143" i="6"/>
  <c r="K143" i="6"/>
  <c r="D143" i="6"/>
  <c r="C143" i="6"/>
  <c r="R142" i="6"/>
  <c r="Q142" i="6"/>
  <c r="P142" i="6"/>
  <c r="O142" i="6"/>
  <c r="N142" i="6"/>
  <c r="L142" i="6"/>
  <c r="K142" i="6"/>
  <c r="D142" i="6"/>
  <c r="C142" i="6"/>
  <c r="R141" i="6"/>
  <c r="Q141" i="6"/>
  <c r="P141" i="6"/>
  <c r="O141" i="6"/>
  <c r="N141" i="6"/>
  <c r="L141" i="6"/>
  <c r="K141" i="6"/>
  <c r="D141" i="6"/>
  <c r="C141" i="6"/>
  <c r="R140" i="6"/>
  <c r="Q140" i="6"/>
  <c r="P140" i="6"/>
  <c r="O140" i="6"/>
  <c r="N140" i="6"/>
  <c r="L140" i="6"/>
  <c r="K140" i="6"/>
  <c r="D140" i="6"/>
  <c r="C140" i="6"/>
  <c r="R139" i="6"/>
  <c r="Q139" i="6"/>
  <c r="P139" i="6"/>
  <c r="O139" i="6"/>
  <c r="N139" i="6"/>
  <c r="L139" i="6"/>
  <c r="K139" i="6"/>
  <c r="D139" i="6"/>
  <c r="C139" i="6"/>
  <c r="R138" i="6"/>
  <c r="Q138" i="6"/>
  <c r="P138" i="6"/>
  <c r="O138" i="6"/>
  <c r="N138" i="6"/>
  <c r="L138" i="6"/>
  <c r="K138" i="6"/>
  <c r="D138" i="6"/>
  <c r="C138" i="6"/>
  <c r="R137" i="6"/>
  <c r="Q137" i="6"/>
  <c r="P137" i="6"/>
  <c r="O137" i="6"/>
  <c r="N137" i="6"/>
  <c r="L137" i="6"/>
  <c r="K137" i="6"/>
  <c r="D137" i="6"/>
  <c r="C137" i="6"/>
  <c r="R136" i="6"/>
  <c r="Q136" i="6"/>
  <c r="P136" i="6"/>
  <c r="O136" i="6"/>
  <c r="N136" i="6"/>
  <c r="L136" i="6"/>
  <c r="K136" i="6"/>
  <c r="D136" i="6"/>
  <c r="C136" i="6"/>
  <c r="R135" i="6"/>
  <c r="Q135" i="6"/>
  <c r="P135" i="6"/>
  <c r="O135" i="6"/>
  <c r="N135" i="6"/>
  <c r="L135" i="6"/>
  <c r="K135" i="6"/>
  <c r="D135" i="6"/>
  <c r="C135" i="6"/>
  <c r="R134" i="6"/>
  <c r="Q134" i="6"/>
  <c r="P134" i="6"/>
  <c r="O134" i="6"/>
  <c r="N134" i="6"/>
  <c r="L134" i="6"/>
  <c r="K134" i="6"/>
  <c r="D134" i="6"/>
  <c r="C134" i="6"/>
  <c r="R133" i="6"/>
  <c r="Q133" i="6"/>
  <c r="P133" i="6"/>
  <c r="O133" i="6"/>
  <c r="N133" i="6"/>
  <c r="L133" i="6"/>
  <c r="K133" i="6"/>
  <c r="D133" i="6"/>
  <c r="C133" i="6"/>
  <c r="R132" i="6"/>
  <c r="Q132" i="6"/>
  <c r="P132" i="6"/>
  <c r="O132" i="6"/>
  <c r="N132" i="6"/>
  <c r="L132" i="6"/>
  <c r="K132" i="6"/>
  <c r="D132" i="6"/>
  <c r="C132" i="6"/>
  <c r="R131" i="6"/>
  <c r="Q131" i="6"/>
  <c r="P131" i="6"/>
  <c r="O131" i="6"/>
  <c r="N131" i="6"/>
  <c r="L131" i="6"/>
  <c r="K131" i="6"/>
  <c r="D131" i="6"/>
  <c r="C131" i="6"/>
  <c r="R130" i="6"/>
  <c r="Q130" i="6"/>
  <c r="P130" i="6"/>
  <c r="O130" i="6"/>
  <c r="N130" i="6"/>
  <c r="L130" i="6"/>
  <c r="K130" i="6"/>
  <c r="D130" i="6"/>
  <c r="C130" i="6"/>
  <c r="R129" i="6"/>
  <c r="Q129" i="6"/>
  <c r="P129" i="6"/>
  <c r="O129" i="6"/>
  <c r="N129" i="6"/>
  <c r="L129" i="6"/>
  <c r="K129" i="6"/>
  <c r="D129" i="6"/>
  <c r="C129" i="6"/>
  <c r="R128" i="6"/>
  <c r="Q128" i="6"/>
  <c r="P128" i="6"/>
  <c r="O128" i="6"/>
  <c r="N128" i="6"/>
  <c r="L128" i="6"/>
  <c r="K128" i="6"/>
  <c r="D128" i="6"/>
  <c r="C128" i="6"/>
  <c r="R127" i="6"/>
  <c r="Q127" i="6"/>
  <c r="P127" i="6"/>
  <c r="O127" i="6"/>
  <c r="N127" i="6"/>
  <c r="L127" i="6"/>
  <c r="K127" i="6"/>
  <c r="D127" i="6"/>
  <c r="C127" i="6"/>
  <c r="R126" i="6"/>
  <c r="Q126" i="6"/>
  <c r="P126" i="6"/>
  <c r="O126" i="6"/>
  <c r="N126" i="6"/>
  <c r="L126" i="6"/>
  <c r="K126" i="6"/>
  <c r="D126" i="6"/>
  <c r="C126" i="6"/>
  <c r="R125" i="6"/>
  <c r="Q125" i="6"/>
  <c r="P125" i="6"/>
  <c r="O125" i="6"/>
  <c r="N125" i="6"/>
  <c r="L125" i="6"/>
  <c r="K125" i="6"/>
  <c r="D125" i="6"/>
  <c r="C125" i="6"/>
  <c r="R124" i="6"/>
  <c r="Q124" i="6"/>
  <c r="P124" i="6"/>
  <c r="O124" i="6"/>
  <c r="N124" i="6"/>
  <c r="L124" i="6"/>
  <c r="K124" i="6"/>
  <c r="D124" i="6"/>
  <c r="C124" i="6"/>
  <c r="R123" i="6"/>
  <c r="Q123" i="6"/>
  <c r="P123" i="6"/>
  <c r="O123" i="6"/>
  <c r="N123" i="6"/>
  <c r="L123" i="6"/>
  <c r="K123" i="6"/>
  <c r="D123" i="6"/>
  <c r="C123" i="6"/>
  <c r="R122" i="6"/>
  <c r="Q122" i="6"/>
  <c r="P122" i="6"/>
  <c r="O122" i="6"/>
  <c r="N122" i="6"/>
  <c r="L122" i="6"/>
  <c r="K122" i="6"/>
  <c r="D122" i="6"/>
  <c r="C122" i="6"/>
  <c r="R121" i="6"/>
  <c r="Q121" i="6"/>
  <c r="P121" i="6"/>
  <c r="O121" i="6"/>
  <c r="N121" i="6"/>
  <c r="L121" i="6"/>
  <c r="K121" i="6"/>
  <c r="D121" i="6"/>
  <c r="C121" i="6"/>
  <c r="R120" i="6"/>
  <c r="Q120" i="6"/>
  <c r="P120" i="6"/>
  <c r="O120" i="6"/>
  <c r="N120" i="6"/>
  <c r="L120" i="6"/>
  <c r="K120" i="6"/>
  <c r="D120" i="6"/>
  <c r="C120" i="6"/>
  <c r="R119" i="6"/>
  <c r="Q119" i="6"/>
  <c r="P119" i="6"/>
  <c r="O119" i="6"/>
  <c r="N119" i="6"/>
  <c r="L119" i="6"/>
  <c r="K119" i="6"/>
  <c r="D119" i="6"/>
  <c r="C119" i="6"/>
  <c r="R118" i="6"/>
  <c r="Q118" i="6"/>
  <c r="P118" i="6"/>
  <c r="O118" i="6"/>
  <c r="N118" i="6"/>
  <c r="L118" i="6"/>
  <c r="K118" i="6"/>
  <c r="D118" i="6"/>
  <c r="C118" i="6"/>
  <c r="R117" i="6"/>
  <c r="Q117" i="6"/>
  <c r="P117" i="6"/>
  <c r="O117" i="6"/>
  <c r="N117" i="6"/>
  <c r="L117" i="6"/>
  <c r="K117" i="6"/>
  <c r="D117" i="6"/>
  <c r="C117" i="6"/>
  <c r="R116" i="6"/>
  <c r="Q116" i="6"/>
  <c r="P116" i="6"/>
  <c r="O116" i="6"/>
  <c r="N116" i="6"/>
  <c r="L116" i="6"/>
  <c r="K116" i="6"/>
  <c r="D116" i="6"/>
  <c r="C116" i="6"/>
  <c r="R115" i="6"/>
  <c r="Q115" i="6"/>
  <c r="P115" i="6"/>
  <c r="O115" i="6"/>
  <c r="N115" i="6"/>
  <c r="L115" i="6"/>
  <c r="K115" i="6"/>
  <c r="D115" i="6"/>
  <c r="C115" i="6"/>
  <c r="R114" i="6"/>
  <c r="Q114" i="6"/>
  <c r="P114" i="6"/>
  <c r="O114" i="6"/>
  <c r="N114" i="6"/>
  <c r="L114" i="6"/>
  <c r="K114" i="6"/>
  <c r="D114" i="6"/>
  <c r="C114" i="6"/>
  <c r="R113" i="6"/>
  <c r="Q113" i="6"/>
  <c r="P113" i="6"/>
  <c r="O113" i="6"/>
  <c r="N113" i="6"/>
  <c r="L113" i="6"/>
  <c r="K113" i="6"/>
  <c r="D113" i="6"/>
  <c r="C113" i="6"/>
  <c r="R112" i="6"/>
  <c r="Q112" i="6"/>
  <c r="P112" i="6"/>
  <c r="O112" i="6"/>
  <c r="N112" i="6"/>
  <c r="L112" i="6"/>
  <c r="K112" i="6"/>
  <c r="D112" i="6"/>
  <c r="C112" i="6"/>
  <c r="R111" i="6"/>
  <c r="Q111" i="6"/>
  <c r="P111" i="6"/>
  <c r="O111" i="6"/>
  <c r="N111" i="6"/>
  <c r="L111" i="6"/>
  <c r="K111" i="6"/>
  <c r="D111" i="6"/>
  <c r="C111" i="6"/>
  <c r="R110" i="6"/>
  <c r="Q110" i="6"/>
  <c r="P110" i="6"/>
  <c r="O110" i="6"/>
  <c r="N110" i="6"/>
  <c r="L110" i="6"/>
  <c r="K110" i="6"/>
  <c r="D110" i="6"/>
  <c r="C110" i="6"/>
  <c r="R109" i="6"/>
  <c r="Q109" i="6"/>
  <c r="P109" i="6"/>
  <c r="O109" i="6"/>
  <c r="N109" i="6"/>
  <c r="L109" i="6"/>
  <c r="K109" i="6"/>
  <c r="D109" i="6"/>
  <c r="C109" i="6"/>
  <c r="R108" i="6"/>
  <c r="Q108" i="6"/>
  <c r="P108" i="6"/>
  <c r="O108" i="6"/>
  <c r="N108" i="6"/>
  <c r="L108" i="6"/>
  <c r="K108" i="6"/>
  <c r="D108" i="6"/>
  <c r="C108" i="6"/>
  <c r="R107" i="6"/>
  <c r="Q107" i="6"/>
  <c r="P107" i="6"/>
  <c r="O107" i="6"/>
  <c r="N107" i="6"/>
  <c r="L107" i="6"/>
  <c r="K107" i="6"/>
  <c r="D107" i="6"/>
  <c r="C107" i="6"/>
  <c r="R106" i="6"/>
  <c r="Q106" i="6"/>
  <c r="P106" i="6"/>
  <c r="O106" i="6"/>
  <c r="N106" i="6"/>
  <c r="L106" i="6"/>
  <c r="K106" i="6"/>
  <c r="D106" i="6"/>
  <c r="C106" i="6"/>
  <c r="R105" i="6"/>
  <c r="Q105" i="6"/>
  <c r="P105" i="6"/>
  <c r="O105" i="6"/>
  <c r="N105" i="6"/>
  <c r="L105" i="6"/>
  <c r="K105" i="6"/>
  <c r="D105" i="6"/>
  <c r="C105" i="6"/>
  <c r="R104" i="6"/>
  <c r="Q104" i="6"/>
  <c r="P104" i="6"/>
  <c r="O104" i="6"/>
  <c r="N104" i="6"/>
  <c r="L104" i="6"/>
  <c r="K104" i="6"/>
  <c r="D104" i="6"/>
  <c r="C104" i="6"/>
  <c r="R103" i="6"/>
  <c r="Q103" i="6"/>
  <c r="P103" i="6"/>
  <c r="O103" i="6"/>
  <c r="N103" i="6"/>
  <c r="L103" i="6"/>
  <c r="K103" i="6"/>
  <c r="D103" i="6"/>
  <c r="C103" i="6"/>
  <c r="R102" i="6"/>
  <c r="Q102" i="6"/>
  <c r="P102" i="6"/>
  <c r="O102" i="6"/>
  <c r="N102" i="6"/>
  <c r="L102" i="6"/>
  <c r="K102" i="6"/>
  <c r="D102" i="6"/>
  <c r="C102" i="6"/>
  <c r="R101" i="6"/>
  <c r="Q101" i="6"/>
  <c r="P101" i="6"/>
  <c r="O101" i="6"/>
  <c r="N101" i="6"/>
  <c r="L101" i="6"/>
  <c r="K101" i="6"/>
  <c r="D101" i="6"/>
  <c r="C101" i="6"/>
  <c r="R100" i="6"/>
  <c r="Q100" i="6"/>
  <c r="P100" i="6"/>
  <c r="O100" i="6"/>
  <c r="N100" i="6"/>
  <c r="L100" i="6"/>
  <c r="K100" i="6"/>
  <c r="D100" i="6"/>
  <c r="C100" i="6"/>
  <c r="R99" i="6"/>
  <c r="Q99" i="6"/>
  <c r="P99" i="6"/>
  <c r="O99" i="6"/>
  <c r="N99" i="6"/>
  <c r="L99" i="6"/>
  <c r="K99" i="6"/>
  <c r="D99" i="6"/>
  <c r="C99" i="6"/>
  <c r="R98" i="6"/>
  <c r="Q98" i="6"/>
  <c r="P98" i="6"/>
  <c r="O98" i="6"/>
  <c r="N98" i="6"/>
  <c r="L98" i="6"/>
  <c r="K98" i="6"/>
  <c r="D98" i="6"/>
  <c r="C98" i="6"/>
  <c r="R97" i="6"/>
  <c r="Q97" i="6"/>
  <c r="P97" i="6"/>
  <c r="O97" i="6"/>
  <c r="N97" i="6"/>
  <c r="L97" i="6"/>
  <c r="K97" i="6"/>
  <c r="D97" i="6"/>
  <c r="C97" i="6"/>
  <c r="R96" i="6"/>
  <c r="Q96" i="6"/>
  <c r="P96" i="6"/>
  <c r="O96" i="6"/>
  <c r="N96" i="6"/>
  <c r="L96" i="6"/>
  <c r="K96" i="6"/>
  <c r="D96" i="6"/>
  <c r="C96" i="6"/>
  <c r="R95" i="6"/>
  <c r="Q95" i="6"/>
  <c r="P95" i="6"/>
  <c r="O95" i="6"/>
  <c r="N95" i="6"/>
  <c r="L95" i="6"/>
  <c r="K95" i="6"/>
  <c r="D95" i="6"/>
  <c r="C95" i="6"/>
  <c r="R94" i="6"/>
  <c r="Q94" i="6"/>
  <c r="P94" i="6"/>
  <c r="O94" i="6"/>
  <c r="N94" i="6"/>
  <c r="L94" i="6"/>
  <c r="K94" i="6"/>
  <c r="D94" i="6"/>
  <c r="C94" i="6"/>
  <c r="R93" i="6"/>
  <c r="Q93" i="6"/>
  <c r="P93" i="6"/>
  <c r="O93" i="6"/>
  <c r="N93" i="6"/>
  <c r="L93" i="6"/>
  <c r="K93" i="6"/>
  <c r="D93" i="6"/>
  <c r="C93" i="6"/>
  <c r="R92" i="6"/>
  <c r="Q92" i="6"/>
  <c r="P92" i="6"/>
  <c r="O92" i="6"/>
  <c r="N92" i="6"/>
  <c r="L92" i="6"/>
  <c r="K92" i="6"/>
  <c r="D92" i="6"/>
  <c r="C92" i="6"/>
  <c r="R91" i="6"/>
  <c r="Q91" i="6"/>
  <c r="P91" i="6"/>
  <c r="O91" i="6"/>
  <c r="N91" i="6"/>
  <c r="L91" i="6"/>
  <c r="K91" i="6"/>
  <c r="D91" i="6"/>
  <c r="C91" i="6"/>
  <c r="R90" i="6"/>
  <c r="Q90" i="6"/>
  <c r="P90" i="6"/>
  <c r="O90" i="6"/>
  <c r="N90" i="6"/>
  <c r="L90" i="6"/>
  <c r="K90" i="6"/>
  <c r="D90" i="6"/>
  <c r="C90" i="6"/>
  <c r="R89" i="6"/>
  <c r="Q89" i="6"/>
  <c r="P89" i="6"/>
  <c r="O89" i="6"/>
  <c r="N89" i="6"/>
  <c r="L89" i="6"/>
  <c r="K89" i="6"/>
  <c r="D89" i="6"/>
  <c r="C89" i="6"/>
  <c r="R88" i="6"/>
  <c r="Q88" i="6"/>
  <c r="P88" i="6"/>
  <c r="O88" i="6"/>
  <c r="N88" i="6"/>
  <c r="L88" i="6"/>
  <c r="K88" i="6"/>
  <c r="D88" i="6"/>
  <c r="C88" i="6"/>
  <c r="R87" i="6"/>
  <c r="Q87" i="6"/>
  <c r="P87" i="6"/>
  <c r="O87" i="6"/>
  <c r="N87" i="6"/>
  <c r="L87" i="6"/>
  <c r="K87" i="6"/>
  <c r="D87" i="6"/>
  <c r="C87" i="6"/>
  <c r="R86" i="6"/>
  <c r="Q86" i="6"/>
  <c r="P86" i="6"/>
  <c r="O86" i="6"/>
  <c r="N86" i="6"/>
  <c r="L86" i="6"/>
  <c r="K86" i="6"/>
  <c r="D86" i="6"/>
  <c r="C86" i="6"/>
  <c r="R85" i="6"/>
  <c r="Q85" i="6"/>
  <c r="P85" i="6"/>
  <c r="O85" i="6"/>
  <c r="N85" i="6"/>
  <c r="L85" i="6"/>
  <c r="K85" i="6"/>
  <c r="D85" i="6"/>
  <c r="C85" i="6"/>
  <c r="R84" i="6"/>
  <c r="Q84" i="6"/>
  <c r="P84" i="6"/>
  <c r="O84" i="6"/>
  <c r="N84" i="6"/>
  <c r="L84" i="6"/>
  <c r="K84" i="6"/>
  <c r="D84" i="6"/>
  <c r="C84" i="6"/>
  <c r="R83" i="6"/>
  <c r="Q83" i="6"/>
  <c r="P83" i="6"/>
  <c r="O83" i="6"/>
  <c r="N83" i="6"/>
  <c r="L83" i="6"/>
  <c r="K83" i="6"/>
  <c r="D83" i="6"/>
  <c r="C83" i="6"/>
  <c r="R82" i="6"/>
  <c r="Q82" i="6"/>
  <c r="P82" i="6"/>
  <c r="O82" i="6"/>
  <c r="N82" i="6"/>
  <c r="L82" i="6"/>
  <c r="K82" i="6"/>
  <c r="D82" i="6"/>
  <c r="C82" i="6"/>
  <c r="R81" i="6"/>
  <c r="Q81" i="6"/>
  <c r="P81" i="6"/>
  <c r="O81" i="6"/>
  <c r="N81" i="6"/>
  <c r="L81" i="6"/>
  <c r="K81" i="6"/>
  <c r="D81" i="6"/>
  <c r="C81" i="6"/>
  <c r="R80" i="6"/>
  <c r="Q80" i="6"/>
  <c r="P80" i="6"/>
  <c r="O80" i="6"/>
  <c r="N80" i="6"/>
  <c r="L80" i="6"/>
  <c r="K80" i="6"/>
  <c r="D80" i="6"/>
  <c r="C80" i="6"/>
  <c r="R79" i="6"/>
  <c r="Q79" i="6"/>
  <c r="P79" i="6"/>
  <c r="O79" i="6"/>
  <c r="N79" i="6"/>
  <c r="L79" i="6"/>
  <c r="K79" i="6"/>
  <c r="D79" i="6"/>
  <c r="C79" i="6"/>
  <c r="R78" i="6"/>
  <c r="Q78" i="6"/>
  <c r="P78" i="6"/>
  <c r="O78" i="6"/>
  <c r="N78" i="6"/>
  <c r="L78" i="6"/>
  <c r="K78" i="6"/>
  <c r="D78" i="6"/>
  <c r="C78" i="6"/>
  <c r="R77" i="6"/>
  <c r="Q77" i="6"/>
  <c r="P77" i="6"/>
  <c r="O77" i="6"/>
  <c r="N77" i="6"/>
  <c r="L77" i="6"/>
  <c r="K77" i="6"/>
  <c r="D77" i="6"/>
  <c r="C77" i="6"/>
  <c r="R76" i="6"/>
  <c r="Q76" i="6"/>
  <c r="P76" i="6"/>
  <c r="O76" i="6"/>
  <c r="N76" i="6"/>
  <c r="L76" i="6"/>
  <c r="K76" i="6"/>
  <c r="D76" i="6"/>
  <c r="C76" i="6"/>
  <c r="R75" i="6"/>
  <c r="Q75" i="6"/>
  <c r="P75" i="6"/>
  <c r="O75" i="6"/>
  <c r="N75" i="6"/>
  <c r="L75" i="6"/>
  <c r="K75" i="6"/>
  <c r="D75" i="6"/>
  <c r="C75" i="6"/>
  <c r="R74" i="6"/>
  <c r="Q74" i="6"/>
  <c r="P74" i="6"/>
  <c r="O74" i="6"/>
  <c r="N74" i="6"/>
  <c r="L74" i="6"/>
  <c r="K74" i="6"/>
  <c r="D74" i="6"/>
  <c r="C74" i="6"/>
  <c r="R73" i="6"/>
  <c r="Q73" i="6"/>
  <c r="P73" i="6"/>
  <c r="O73" i="6"/>
  <c r="N73" i="6"/>
  <c r="L73" i="6"/>
  <c r="K73" i="6"/>
  <c r="D73" i="6"/>
  <c r="C73" i="6"/>
  <c r="R72" i="6"/>
  <c r="Q72" i="6"/>
  <c r="P72" i="6"/>
  <c r="O72" i="6"/>
  <c r="N72" i="6"/>
  <c r="L72" i="6"/>
  <c r="K72" i="6"/>
  <c r="D72" i="6"/>
  <c r="C72" i="6"/>
  <c r="R71" i="6"/>
  <c r="Q71" i="6"/>
  <c r="P71" i="6"/>
  <c r="O71" i="6"/>
  <c r="N71" i="6"/>
  <c r="L71" i="6"/>
  <c r="K71" i="6"/>
  <c r="D71" i="6"/>
  <c r="C71" i="6"/>
  <c r="R70" i="6"/>
  <c r="Q70" i="6"/>
  <c r="P70" i="6"/>
  <c r="O70" i="6"/>
  <c r="N70" i="6"/>
  <c r="L70" i="6"/>
  <c r="K70" i="6"/>
  <c r="D70" i="6"/>
  <c r="C70" i="6"/>
  <c r="R69" i="6"/>
  <c r="Q69" i="6"/>
  <c r="P69" i="6"/>
  <c r="O69" i="6"/>
  <c r="N69" i="6"/>
  <c r="L69" i="6"/>
  <c r="K69" i="6"/>
  <c r="D69" i="6"/>
  <c r="C69" i="6"/>
  <c r="R68" i="6"/>
  <c r="Q68" i="6"/>
  <c r="P68" i="6"/>
  <c r="O68" i="6"/>
  <c r="N68" i="6"/>
  <c r="L68" i="6"/>
  <c r="K68" i="6"/>
  <c r="D68" i="6"/>
  <c r="C68" i="6"/>
  <c r="R67" i="6"/>
  <c r="Q67" i="6"/>
  <c r="P67" i="6"/>
  <c r="O67" i="6"/>
  <c r="N67" i="6"/>
  <c r="L67" i="6"/>
  <c r="K67" i="6"/>
  <c r="D67" i="6"/>
  <c r="C67" i="6"/>
  <c r="R66" i="6"/>
  <c r="Q66" i="6"/>
  <c r="P66" i="6"/>
  <c r="O66" i="6"/>
  <c r="N66" i="6"/>
  <c r="L66" i="6"/>
  <c r="K66" i="6"/>
  <c r="D66" i="6"/>
  <c r="C66" i="6"/>
  <c r="R65" i="6"/>
  <c r="Q65" i="6"/>
  <c r="P65" i="6"/>
  <c r="O65" i="6"/>
  <c r="N65" i="6"/>
  <c r="L65" i="6"/>
  <c r="K65" i="6"/>
  <c r="D65" i="6"/>
  <c r="C65" i="6"/>
  <c r="R64" i="6"/>
  <c r="Q64" i="6"/>
  <c r="P64" i="6"/>
  <c r="O64" i="6"/>
  <c r="N64" i="6"/>
  <c r="L64" i="6"/>
  <c r="K64" i="6"/>
  <c r="D64" i="6"/>
  <c r="C64" i="6"/>
  <c r="R63" i="6"/>
  <c r="Q63" i="6"/>
  <c r="P63" i="6"/>
  <c r="O63" i="6"/>
  <c r="N63" i="6"/>
  <c r="L63" i="6"/>
  <c r="K63" i="6"/>
  <c r="D63" i="6"/>
  <c r="C63" i="6"/>
  <c r="R62" i="6"/>
  <c r="Q62" i="6"/>
  <c r="P62" i="6"/>
  <c r="O62" i="6"/>
  <c r="N62" i="6"/>
  <c r="L62" i="6"/>
  <c r="K62" i="6"/>
  <c r="D62" i="6"/>
  <c r="C62" i="6"/>
  <c r="R61" i="6"/>
  <c r="Q61" i="6"/>
  <c r="P61" i="6"/>
  <c r="O61" i="6"/>
  <c r="N61" i="6"/>
  <c r="L61" i="6"/>
  <c r="K61" i="6"/>
  <c r="D61" i="6"/>
  <c r="C61" i="6"/>
  <c r="R60" i="6"/>
  <c r="Q60" i="6"/>
  <c r="P60" i="6"/>
  <c r="O60" i="6"/>
  <c r="N60" i="6"/>
  <c r="L60" i="6"/>
  <c r="K60" i="6"/>
  <c r="D60" i="6"/>
  <c r="C60" i="6"/>
  <c r="R59" i="6"/>
  <c r="Q59" i="6"/>
  <c r="P59" i="6"/>
  <c r="O59" i="6"/>
  <c r="N59" i="6"/>
  <c r="L59" i="6"/>
  <c r="K59" i="6"/>
  <c r="D59" i="6"/>
  <c r="C59" i="6"/>
  <c r="R58" i="6"/>
  <c r="Q58" i="6"/>
  <c r="P58" i="6"/>
  <c r="O58" i="6"/>
  <c r="N58" i="6"/>
  <c r="L58" i="6"/>
  <c r="K58" i="6"/>
  <c r="D58" i="6"/>
  <c r="C58" i="6"/>
  <c r="R57" i="6"/>
  <c r="Q57" i="6"/>
  <c r="P57" i="6"/>
  <c r="O57" i="6"/>
  <c r="N57" i="6"/>
  <c r="L57" i="6"/>
  <c r="K57" i="6"/>
  <c r="D57" i="6"/>
  <c r="C57" i="6"/>
  <c r="R56" i="6"/>
  <c r="Q56" i="6"/>
  <c r="P56" i="6"/>
  <c r="O56" i="6"/>
  <c r="N56" i="6"/>
  <c r="L56" i="6"/>
  <c r="K56" i="6"/>
  <c r="D56" i="6"/>
  <c r="C56" i="6"/>
  <c r="R55" i="6"/>
  <c r="Q55" i="6"/>
  <c r="P55" i="6"/>
  <c r="O55" i="6"/>
  <c r="N55" i="6"/>
  <c r="L55" i="6"/>
  <c r="K55" i="6"/>
  <c r="D55" i="6"/>
  <c r="C55" i="6"/>
  <c r="R54" i="6"/>
  <c r="Q54" i="6"/>
  <c r="P54" i="6"/>
  <c r="O54" i="6"/>
  <c r="N54" i="6"/>
  <c r="L54" i="6"/>
  <c r="K54" i="6"/>
  <c r="D54" i="6"/>
  <c r="C54" i="6"/>
  <c r="R53" i="6"/>
  <c r="Q53" i="6"/>
  <c r="P53" i="6"/>
  <c r="O53" i="6"/>
  <c r="N53" i="6"/>
  <c r="L53" i="6"/>
  <c r="K53" i="6"/>
  <c r="D53" i="6"/>
  <c r="C53" i="6"/>
  <c r="R52" i="6"/>
  <c r="Q52" i="6"/>
  <c r="P52" i="6"/>
  <c r="O52" i="6"/>
  <c r="N52" i="6"/>
  <c r="L52" i="6"/>
  <c r="K52" i="6"/>
  <c r="D52" i="6"/>
  <c r="C52" i="6"/>
  <c r="R51" i="6"/>
  <c r="Q51" i="6"/>
  <c r="P51" i="6"/>
  <c r="O51" i="6"/>
  <c r="N51" i="6"/>
  <c r="L51" i="6"/>
  <c r="K51" i="6"/>
  <c r="D51" i="6"/>
  <c r="C51" i="6"/>
  <c r="R50" i="6"/>
  <c r="Q50" i="6"/>
  <c r="P50" i="6"/>
  <c r="O50" i="6"/>
  <c r="N50" i="6"/>
  <c r="L50" i="6"/>
  <c r="K50" i="6"/>
  <c r="D50" i="6"/>
  <c r="C50" i="6"/>
  <c r="R49" i="6"/>
  <c r="Q49" i="6"/>
  <c r="P49" i="6"/>
  <c r="O49" i="6"/>
  <c r="N49" i="6"/>
  <c r="L49" i="6"/>
  <c r="K49" i="6"/>
  <c r="D49" i="6"/>
  <c r="C49" i="6"/>
  <c r="R48" i="6"/>
  <c r="Q48" i="6"/>
  <c r="P48" i="6"/>
  <c r="O48" i="6"/>
  <c r="N48" i="6"/>
  <c r="L48" i="6"/>
  <c r="K48" i="6"/>
  <c r="D48" i="6"/>
  <c r="C48" i="6"/>
  <c r="R47" i="6"/>
  <c r="Q47" i="6"/>
  <c r="P47" i="6"/>
  <c r="O47" i="6"/>
  <c r="N47" i="6"/>
  <c r="L47" i="6"/>
  <c r="K47" i="6"/>
  <c r="D47" i="6"/>
  <c r="C47" i="6"/>
  <c r="R46" i="6"/>
  <c r="Q46" i="6"/>
  <c r="P46" i="6"/>
  <c r="O46" i="6"/>
  <c r="N46" i="6"/>
  <c r="L46" i="6"/>
  <c r="K46" i="6"/>
  <c r="D46" i="6"/>
  <c r="C46" i="6"/>
  <c r="R45" i="6"/>
  <c r="Q45" i="6"/>
  <c r="P45" i="6"/>
  <c r="O45" i="6"/>
  <c r="N45" i="6"/>
  <c r="L45" i="6"/>
  <c r="K45" i="6"/>
  <c r="D45" i="6"/>
  <c r="C45" i="6"/>
  <c r="R44" i="6"/>
  <c r="Q44" i="6"/>
  <c r="P44" i="6"/>
  <c r="O44" i="6"/>
  <c r="N44" i="6"/>
  <c r="L44" i="6"/>
  <c r="K44" i="6"/>
  <c r="D44" i="6"/>
  <c r="C44" i="6"/>
  <c r="R43" i="6"/>
  <c r="Q43" i="6"/>
  <c r="P43" i="6"/>
  <c r="O43" i="6"/>
  <c r="N43" i="6"/>
  <c r="L43" i="6"/>
  <c r="K43" i="6"/>
  <c r="D43" i="6"/>
  <c r="C43" i="6"/>
  <c r="R42" i="6"/>
  <c r="Q42" i="6"/>
  <c r="P42" i="6"/>
  <c r="O42" i="6"/>
  <c r="N42" i="6"/>
  <c r="L42" i="6"/>
  <c r="K42" i="6"/>
  <c r="D42" i="6"/>
  <c r="C42" i="6"/>
  <c r="R41" i="6"/>
  <c r="Q41" i="6"/>
  <c r="P41" i="6"/>
  <c r="O41" i="6"/>
  <c r="N41" i="6"/>
  <c r="L41" i="6"/>
  <c r="K41" i="6"/>
  <c r="D41" i="6"/>
  <c r="C41" i="6"/>
  <c r="R40" i="6"/>
  <c r="Q40" i="6"/>
  <c r="P40" i="6"/>
  <c r="O40" i="6"/>
  <c r="N40" i="6"/>
  <c r="L40" i="6"/>
  <c r="K40" i="6"/>
  <c r="D40" i="6"/>
  <c r="C40" i="6"/>
  <c r="R39" i="6"/>
  <c r="Q39" i="6"/>
  <c r="P39" i="6"/>
  <c r="O39" i="6"/>
  <c r="N39" i="6"/>
  <c r="L39" i="6"/>
  <c r="K39" i="6"/>
  <c r="D39" i="6"/>
  <c r="C39" i="6"/>
  <c r="R38" i="6"/>
  <c r="Q38" i="6"/>
  <c r="P38" i="6"/>
  <c r="O38" i="6"/>
  <c r="N38" i="6"/>
  <c r="L38" i="6"/>
  <c r="K38" i="6"/>
  <c r="D38" i="6"/>
  <c r="C38" i="6"/>
  <c r="R37" i="6"/>
  <c r="Q37" i="6"/>
  <c r="P37" i="6"/>
  <c r="O37" i="6"/>
  <c r="N37" i="6"/>
  <c r="L37" i="6"/>
  <c r="K37" i="6"/>
  <c r="D37" i="6"/>
  <c r="C37" i="6"/>
  <c r="R36" i="6"/>
  <c r="Q36" i="6"/>
  <c r="P36" i="6"/>
  <c r="O36" i="6"/>
  <c r="N36" i="6"/>
  <c r="L36" i="6"/>
  <c r="K36" i="6"/>
  <c r="D36" i="6"/>
  <c r="C36" i="6"/>
  <c r="R35" i="6"/>
  <c r="Q35" i="6"/>
  <c r="P35" i="6"/>
  <c r="O35" i="6"/>
  <c r="N35" i="6"/>
  <c r="L35" i="6"/>
  <c r="K35" i="6"/>
  <c r="D35" i="6"/>
  <c r="C35" i="6"/>
  <c r="R34" i="6"/>
  <c r="Q34" i="6"/>
  <c r="P34" i="6"/>
  <c r="O34" i="6"/>
  <c r="N34" i="6"/>
  <c r="L34" i="6"/>
  <c r="K34" i="6"/>
  <c r="D34" i="6"/>
  <c r="C34" i="6"/>
  <c r="R33" i="6"/>
  <c r="Q33" i="6"/>
  <c r="P33" i="6"/>
  <c r="O33" i="6"/>
  <c r="N33" i="6"/>
  <c r="L33" i="6"/>
  <c r="K33" i="6"/>
  <c r="D33" i="6"/>
  <c r="C33" i="6"/>
  <c r="R32" i="6"/>
  <c r="Q32" i="6"/>
  <c r="P32" i="6"/>
  <c r="O32" i="6"/>
  <c r="N32" i="6"/>
  <c r="L32" i="6"/>
  <c r="K32" i="6"/>
  <c r="D32" i="6"/>
  <c r="C32" i="6"/>
  <c r="R31" i="6"/>
  <c r="Q31" i="6"/>
  <c r="P31" i="6"/>
  <c r="O31" i="6"/>
  <c r="N31" i="6"/>
  <c r="L31" i="6"/>
  <c r="K31" i="6"/>
  <c r="D31" i="6"/>
  <c r="C31" i="6"/>
  <c r="R30" i="6"/>
  <c r="Q30" i="6"/>
  <c r="P30" i="6"/>
  <c r="O30" i="6"/>
  <c r="N30" i="6"/>
  <c r="L30" i="6"/>
  <c r="K30" i="6"/>
  <c r="D30" i="6"/>
  <c r="C30" i="6"/>
  <c r="R29" i="6"/>
  <c r="Q29" i="6"/>
  <c r="P29" i="6"/>
  <c r="O29" i="6"/>
  <c r="N29" i="6"/>
  <c r="L29" i="6"/>
  <c r="K29" i="6"/>
  <c r="D29" i="6"/>
  <c r="C29" i="6"/>
  <c r="R28" i="6"/>
  <c r="Q28" i="6"/>
  <c r="P28" i="6"/>
  <c r="O28" i="6"/>
  <c r="N28" i="6"/>
  <c r="L28" i="6"/>
  <c r="K28" i="6"/>
  <c r="D28" i="6"/>
  <c r="C28" i="6"/>
  <c r="R27" i="6"/>
  <c r="Q27" i="6"/>
  <c r="P27" i="6"/>
  <c r="O27" i="6"/>
  <c r="N27" i="6"/>
  <c r="L27" i="6"/>
  <c r="K27" i="6"/>
  <c r="D27" i="6"/>
  <c r="C27" i="6"/>
  <c r="R26" i="6"/>
  <c r="Q26" i="6"/>
  <c r="P26" i="6"/>
  <c r="O26" i="6"/>
  <c r="N26" i="6"/>
  <c r="L26" i="6"/>
  <c r="K26" i="6"/>
  <c r="D26" i="6"/>
  <c r="C26" i="6"/>
  <c r="R25" i="6"/>
  <c r="Q25" i="6"/>
  <c r="P25" i="6"/>
  <c r="O25" i="6"/>
  <c r="N25" i="6"/>
  <c r="L25" i="6"/>
  <c r="K25" i="6"/>
  <c r="D25" i="6"/>
  <c r="C25" i="6"/>
  <c r="R24" i="6"/>
  <c r="Q24" i="6"/>
  <c r="P24" i="6"/>
  <c r="O24" i="6"/>
  <c r="N24" i="6"/>
  <c r="L24" i="6"/>
  <c r="K24" i="6"/>
  <c r="D24" i="6"/>
  <c r="C24" i="6"/>
  <c r="R23" i="6"/>
  <c r="Q23" i="6"/>
  <c r="P23" i="6"/>
  <c r="O23" i="6"/>
  <c r="N23" i="6"/>
  <c r="L23" i="6"/>
  <c r="K23" i="6"/>
  <c r="D23" i="6"/>
  <c r="C23" i="6"/>
  <c r="R22" i="6"/>
  <c r="Q22" i="6"/>
  <c r="P22" i="6"/>
  <c r="O22" i="6"/>
  <c r="N22" i="6"/>
  <c r="L22" i="6"/>
  <c r="K22" i="6"/>
  <c r="D22" i="6"/>
  <c r="C22" i="6"/>
  <c r="R21" i="6"/>
  <c r="Q21" i="6"/>
  <c r="P21" i="6"/>
  <c r="O21" i="6"/>
  <c r="N21" i="6"/>
  <c r="L21" i="6"/>
  <c r="K21" i="6"/>
  <c r="D21" i="6"/>
  <c r="C21" i="6"/>
  <c r="R20" i="6"/>
  <c r="Q20" i="6"/>
  <c r="P20" i="6"/>
  <c r="O20" i="6"/>
  <c r="N20" i="6"/>
  <c r="L20" i="6"/>
  <c r="K20" i="6"/>
  <c r="D20" i="6"/>
  <c r="C20" i="6"/>
  <c r="R19" i="6"/>
  <c r="Q19" i="6"/>
  <c r="P19" i="6"/>
  <c r="O19" i="6"/>
  <c r="N19" i="6"/>
  <c r="L19" i="6"/>
  <c r="K19" i="6"/>
  <c r="D19" i="6"/>
  <c r="C19" i="6"/>
  <c r="R18" i="6"/>
  <c r="Q18" i="6"/>
  <c r="P18" i="6"/>
  <c r="O18" i="6"/>
  <c r="N18" i="6"/>
  <c r="L18" i="6"/>
  <c r="K18" i="6"/>
  <c r="D18" i="6"/>
  <c r="C18" i="6"/>
  <c r="R17" i="6"/>
  <c r="Q17" i="6"/>
  <c r="P17" i="6"/>
  <c r="O17" i="6"/>
  <c r="N17" i="6"/>
  <c r="L17" i="6"/>
  <c r="K17" i="6"/>
  <c r="D17" i="6"/>
  <c r="C17" i="6"/>
  <c r="R16" i="6"/>
  <c r="Q16" i="6"/>
  <c r="P16" i="6"/>
  <c r="O16" i="6"/>
  <c r="N16" i="6"/>
  <c r="L16" i="6"/>
  <c r="K16" i="6"/>
  <c r="D16" i="6"/>
  <c r="C16" i="6"/>
  <c r="R15" i="6"/>
  <c r="Q15" i="6"/>
  <c r="P15" i="6"/>
  <c r="O15" i="6"/>
  <c r="N15" i="6"/>
  <c r="L15" i="6"/>
  <c r="K15" i="6"/>
  <c r="D15" i="6"/>
  <c r="C15" i="6"/>
  <c r="R14" i="6"/>
  <c r="Q14" i="6"/>
  <c r="P14" i="6"/>
  <c r="O14" i="6"/>
  <c r="N14" i="6"/>
  <c r="L14" i="6"/>
  <c r="K14" i="6"/>
  <c r="D14" i="6"/>
  <c r="C14" i="6"/>
  <c r="R13" i="6"/>
  <c r="Q13" i="6"/>
  <c r="P13" i="6"/>
  <c r="O13" i="6"/>
  <c r="N13" i="6"/>
  <c r="L13" i="6"/>
  <c r="K13" i="6"/>
  <c r="D13" i="6"/>
  <c r="C13" i="6"/>
  <c r="R12" i="6"/>
  <c r="Q12" i="6"/>
  <c r="P12" i="6"/>
  <c r="O12" i="6"/>
  <c r="N12" i="6"/>
  <c r="L12" i="6"/>
  <c r="K12" i="6"/>
  <c r="D12" i="6"/>
  <c r="C12" i="6"/>
  <c r="R11" i="6"/>
  <c r="Q11" i="6"/>
  <c r="P11" i="6"/>
  <c r="O11" i="6"/>
  <c r="N11" i="6"/>
  <c r="L11" i="6"/>
  <c r="K11" i="6"/>
  <c r="D11" i="6"/>
  <c r="C11" i="6"/>
  <c r="R10" i="6"/>
  <c r="Q10" i="6"/>
  <c r="P10" i="6"/>
  <c r="O10" i="6"/>
  <c r="N10" i="6"/>
  <c r="L10" i="6"/>
  <c r="K10" i="6"/>
  <c r="D10" i="6"/>
  <c r="C10" i="6"/>
  <c r="R9" i="6"/>
  <c r="Q9" i="6"/>
  <c r="P9" i="6"/>
  <c r="O9" i="6"/>
  <c r="N9" i="6"/>
  <c r="A7" i="2" s="1"/>
  <c r="L9" i="6"/>
  <c r="K9" i="6"/>
  <c r="D9" i="6"/>
  <c r="C9" i="6"/>
  <c r="R8" i="6"/>
  <c r="Q8" i="6"/>
  <c r="P8" i="6"/>
  <c r="O8" i="6"/>
  <c r="N8" i="6"/>
  <c r="L8" i="6"/>
  <c r="K8" i="6"/>
  <c r="D8" i="6"/>
  <c r="C8" i="6"/>
  <c r="R7" i="6"/>
  <c r="Q7" i="6"/>
  <c r="B14" i="2" s="1"/>
  <c r="P7" i="6"/>
  <c r="O7" i="6"/>
  <c r="N7" i="6"/>
  <c r="L7" i="6"/>
  <c r="K7" i="6"/>
  <c r="D7" i="6"/>
  <c r="C7" i="6"/>
  <c r="M35" i="5"/>
  <c r="K35" i="5"/>
  <c r="M34" i="5"/>
  <c r="K34" i="5"/>
  <c r="M33" i="5"/>
  <c r="K33" i="5"/>
  <c r="M32" i="5"/>
  <c r="K32" i="5"/>
  <c r="M31" i="5"/>
  <c r="K31" i="5"/>
  <c r="M30" i="5"/>
  <c r="K30" i="5"/>
  <c r="M29" i="5"/>
  <c r="K29" i="5"/>
  <c r="M28" i="5"/>
  <c r="K28" i="5"/>
  <c r="M27" i="5"/>
  <c r="K27" i="5"/>
  <c r="M26" i="5"/>
  <c r="K26" i="5"/>
  <c r="M25" i="5"/>
  <c r="K25" i="5"/>
  <c r="M24" i="5"/>
  <c r="K24" i="5"/>
  <c r="M23" i="5"/>
  <c r="K23" i="5"/>
  <c r="M22" i="5"/>
  <c r="K22" i="5"/>
  <c r="M21" i="5"/>
  <c r="K21" i="5"/>
  <c r="M20" i="5"/>
  <c r="K20" i="5"/>
  <c r="M19" i="5"/>
  <c r="K19" i="5"/>
  <c r="M18" i="5"/>
  <c r="K18" i="5"/>
  <c r="M17" i="5"/>
  <c r="K17" i="5"/>
  <c r="M16" i="5"/>
  <c r="K16" i="5"/>
  <c r="M15" i="5"/>
  <c r="K15" i="5"/>
  <c r="M14" i="5"/>
  <c r="K14" i="5"/>
  <c r="M13" i="5"/>
  <c r="K13" i="5"/>
  <c r="M12" i="5"/>
  <c r="K12" i="5"/>
  <c r="M11" i="5"/>
  <c r="K11" i="5"/>
  <c r="M10" i="5"/>
  <c r="K10" i="5"/>
  <c r="M9" i="5"/>
  <c r="K9" i="5"/>
  <c r="M8" i="5"/>
  <c r="K8" i="5"/>
  <c r="M7" i="5"/>
  <c r="K7" i="5"/>
  <c r="M6" i="5"/>
  <c r="C7" i="2" s="1"/>
  <c r="K6" i="5"/>
  <c r="M16" i="4"/>
  <c r="I16" i="4"/>
  <c r="H16" i="4"/>
  <c r="G16" i="4"/>
  <c r="K15" i="4"/>
  <c r="L15" i="4" s="1"/>
  <c r="F15" i="4"/>
  <c r="K14" i="4"/>
  <c r="L14" i="4" s="1"/>
  <c r="F14" i="4"/>
  <c r="K13" i="4"/>
  <c r="L13" i="4" s="1"/>
  <c r="F13" i="4"/>
  <c r="L12" i="4"/>
  <c r="K12" i="4"/>
  <c r="F12" i="4"/>
  <c r="K11" i="4"/>
  <c r="L11" i="4" s="1"/>
  <c r="F11" i="4"/>
  <c r="K10" i="4"/>
  <c r="L10" i="4" s="1"/>
  <c r="F10" i="4"/>
  <c r="K9" i="4"/>
  <c r="L9" i="4" s="1"/>
  <c r="F9" i="4"/>
  <c r="K8" i="4"/>
  <c r="L8" i="4" s="1"/>
  <c r="F8" i="4"/>
  <c r="L7" i="4"/>
  <c r="K7" i="4"/>
  <c r="K16" i="4" s="1"/>
  <c r="F7" i="4"/>
  <c r="F16" i="4" s="1"/>
  <c r="A4" i="2" s="1"/>
  <c r="L6" i="4"/>
  <c r="K6" i="4"/>
  <c r="F6" i="4"/>
  <c r="C44" i="2"/>
  <c r="C43" i="2"/>
  <c r="C42" i="2"/>
  <c r="C41" i="2"/>
  <c r="C40" i="2"/>
  <c r="C39" i="2"/>
  <c r="C38" i="2"/>
  <c r="C37" i="2"/>
  <c r="C36" i="2"/>
  <c r="C35" i="2"/>
  <c r="C34" i="2"/>
  <c r="D34" i="2" s="1"/>
  <c r="C33" i="2"/>
  <c r="C32" i="2"/>
  <c r="C31" i="2"/>
  <c r="C29" i="2"/>
  <c r="A23" i="2"/>
  <c r="A22" i="2"/>
  <c r="L21" i="2"/>
  <c r="J21" i="2"/>
  <c r="H21" i="2"/>
  <c r="F21" i="2"/>
  <c r="K21" i="2" s="1"/>
  <c r="A21" i="2"/>
  <c r="K20" i="2"/>
  <c r="I20" i="2"/>
  <c r="G20" i="2"/>
  <c r="F20" i="2"/>
  <c r="L20" i="2" s="1"/>
  <c r="A20" i="2"/>
  <c r="F19" i="2"/>
  <c r="G19" i="2" s="1"/>
  <c r="A19" i="2"/>
  <c r="K18" i="2"/>
  <c r="J18" i="2"/>
  <c r="I18" i="2"/>
  <c r="H18" i="2"/>
  <c r="G18" i="2"/>
  <c r="F18" i="2"/>
  <c r="L18" i="2" s="1"/>
  <c r="A18" i="2"/>
  <c r="L17" i="2"/>
  <c r="F17" i="2"/>
  <c r="A17" i="2"/>
  <c r="L16" i="2"/>
  <c r="K16" i="2"/>
  <c r="J16" i="2"/>
  <c r="I16" i="2"/>
  <c r="H16" i="2"/>
  <c r="G16" i="2"/>
  <c r="F16" i="2"/>
  <c r="A16" i="2"/>
  <c r="F15" i="2"/>
  <c r="L15" i="2" s="1"/>
  <c r="C15" i="2"/>
  <c r="A15" i="2"/>
  <c r="K14" i="2"/>
  <c r="I14" i="2"/>
  <c r="F14" i="2"/>
  <c r="A14" i="2"/>
  <c r="F13" i="2"/>
  <c r="C13" i="2"/>
  <c r="A13" i="2"/>
  <c r="L12" i="2"/>
  <c r="K12" i="2"/>
  <c r="J12" i="2"/>
  <c r="I12" i="2"/>
  <c r="H12" i="2"/>
  <c r="G12" i="2"/>
  <c r="F12" i="2"/>
  <c r="A12" i="2"/>
  <c r="A132" i="7" l="1"/>
  <c r="A130" i="7"/>
  <c r="A128" i="7"/>
  <c r="A126" i="7"/>
  <c r="A124" i="7"/>
  <c r="A122" i="7"/>
  <c r="A120" i="7"/>
  <c r="A118" i="7"/>
  <c r="A116" i="7"/>
  <c r="A114" i="7"/>
  <c r="A112" i="7"/>
  <c r="A110" i="7"/>
  <c r="A108" i="7"/>
  <c r="A106" i="7"/>
  <c r="A104" i="7"/>
  <c r="A102" i="7"/>
  <c r="A100" i="7"/>
  <c r="A98" i="7"/>
  <c r="A96" i="7"/>
  <c r="A94" i="7"/>
  <c r="A92" i="7"/>
  <c r="A90" i="7"/>
  <c r="A88" i="7"/>
  <c r="A86" i="7"/>
  <c r="A84" i="7"/>
  <c r="A82" i="7"/>
  <c r="A80" i="7"/>
  <c r="A78" i="7"/>
  <c r="A76" i="7"/>
  <c r="A74" i="7"/>
  <c r="A72" i="7"/>
  <c r="A70" i="7"/>
  <c r="A68" i="7"/>
  <c r="A66" i="7"/>
  <c r="A64" i="7"/>
  <c r="A62" i="7"/>
  <c r="A60" i="7"/>
  <c r="A58" i="7"/>
  <c r="A56" i="7"/>
  <c r="A54" i="7"/>
  <c r="A52" i="7"/>
  <c r="A50" i="7"/>
  <c r="A48" i="7"/>
  <c r="A46" i="7"/>
  <c r="A44" i="7"/>
  <c r="A42" i="7"/>
  <c r="A40" i="7"/>
  <c r="A38" i="7"/>
  <c r="A36" i="7"/>
  <c r="A34" i="7"/>
  <c r="A32" i="7"/>
  <c r="A30" i="7"/>
  <c r="A28" i="7"/>
  <c r="A26" i="7"/>
  <c r="A24" i="7"/>
  <c r="A22" i="7"/>
  <c r="A20" i="7"/>
  <c r="A18" i="7"/>
  <c r="A16" i="7"/>
  <c r="A14" i="7"/>
  <c r="B21" i="2"/>
  <c r="A41" i="7"/>
  <c r="A61" i="7"/>
  <c r="A77" i="7"/>
  <c r="A81" i="7"/>
  <c r="A85" i="7"/>
  <c r="A89" i="7"/>
  <c r="A93" i="7"/>
  <c r="A97" i="7"/>
  <c r="A101" i="7"/>
  <c r="E7" i="2"/>
  <c r="G7" i="2" s="1"/>
  <c r="B23" i="2"/>
  <c r="D23" i="2" s="1"/>
  <c r="A37" i="7"/>
  <c r="A69" i="7"/>
  <c r="A125" i="7"/>
  <c r="H15" i="2"/>
  <c r="C20" i="10"/>
  <c r="C17" i="10"/>
  <c r="M17" i="10" s="1"/>
  <c r="C14" i="10"/>
  <c r="C11" i="10"/>
  <c r="C24" i="10"/>
  <c r="C7" i="10"/>
  <c r="C21" i="10"/>
  <c r="C18" i="10"/>
  <c r="C15" i="10"/>
  <c r="I13" i="2"/>
  <c r="G13" i="2"/>
  <c r="G22" i="2" s="1"/>
  <c r="H13" i="2"/>
  <c r="H22" i="2" s="1"/>
  <c r="A13" i="7"/>
  <c r="A105" i="7"/>
  <c r="I7" i="2"/>
  <c r="D39" i="2"/>
  <c r="C13" i="10"/>
  <c r="L16" i="4"/>
  <c r="A25" i="7"/>
  <c r="A49" i="7"/>
  <c r="A121" i="7"/>
  <c r="C17" i="2"/>
  <c r="C12" i="2"/>
  <c r="C22" i="2"/>
  <c r="C19" i="2"/>
  <c r="C16" i="2"/>
  <c r="G15" i="2"/>
  <c r="A29" i="7"/>
  <c r="A45" i="7"/>
  <c r="A73" i="7"/>
  <c r="A129" i="7"/>
  <c r="J13" i="2"/>
  <c r="C21" i="2"/>
  <c r="K13" i="2"/>
  <c r="K22" i="2" s="1"/>
  <c r="I15" i="2"/>
  <c r="H19" i="2"/>
  <c r="L13" i="2"/>
  <c r="L22" i="2" s="1"/>
  <c r="J15" i="2"/>
  <c r="K17" i="2"/>
  <c r="J17" i="2"/>
  <c r="I17" i="2"/>
  <c r="G17" i="2"/>
  <c r="I19" i="2"/>
  <c r="B12" i="2"/>
  <c r="K15" i="2"/>
  <c r="H17" i="2"/>
  <c r="J19" i="2"/>
  <c r="G21" i="2"/>
  <c r="D38" i="2"/>
  <c r="D40" i="2"/>
  <c r="C16" i="10"/>
  <c r="K19" i="2"/>
  <c r="C14" i="2"/>
  <c r="D14" i="2" s="1"/>
  <c r="L19" i="2"/>
  <c r="I21" i="2"/>
  <c r="D31" i="2"/>
  <c r="D41" i="2"/>
  <c r="B15" i="2"/>
  <c r="D15" i="2" s="1"/>
  <c r="B22" i="2"/>
  <c r="D22" i="2" s="1"/>
  <c r="B19" i="2"/>
  <c r="D19" i="2" s="1"/>
  <c r="B13" i="2"/>
  <c r="D13" i="2" s="1"/>
  <c r="A33" i="7"/>
  <c r="A65" i="7"/>
  <c r="A117" i="7"/>
  <c r="C19" i="10"/>
  <c r="A21" i="7"/>
  <c r="A53" i="7"/>
  <c r="A113" i="7"/>
  <c r="B16" i="2"/>
  <c r="C18" i="2"/>
  <c r="B20" i="2"/>
  <c r="D20" i="2" s="1"/>
  <c r="D32" i="2"/>
  <c r="D42" i="2"/>
  <c r="A15" i="7"/>
  <c r="A19" i="7"/>
  <c r="A23" i="7"/>
  <c r="A27" i="7"/>
  <c r="A31" i="7"/>
  <c r="A35" i="7"/>
  <c r="A39" i="7"/>
  <c r="A43" i="7"/>
  <c r="A47" i="7"/>
  <c r="A51" i="7"/>
  <c r="A55" i="7"/>
  <c r="A59" i="7"/>
  <c r="A63" i="7"/>
  <c r="A67" i="7"/>
  <c r="A71" i="7"/>
  <c r="A75" i="7"/>
  <c r="A79" i="7"/>
  <c r="A83" i="7"/>
  <c r="A87" i="7"/>
  <c r="A91" i="7"/>
  <c r="A95" i="7"/>
  <c r="A99" i="7"/>
  <c r="A103" i="7"/>
  <c r="A107" i="7"/>
  <c r="A111" i="7"/>
  <c r="A115" i="7"/>
  <c r="A119" i="7"/>
  <c r="A123" i="7"/>
  <c r="A127" i="7"/>
  <c r="A131" i="7"/>
  <c r="C22" i="10"/>
  <c r="A17" i="7"/>
  <c r="A57" i="7"/>
  <c r="A109" i="7"/>
  <c r="B18" i="2"/>
  <c r="D18" i="2" s="1"/>
  <c r="L14" i="2"/>
  <c r="J14" i="2"/>
  <c r="H14" i="2"/>
  <c r="G14" i="2"/>
  <c r="C20" i="2"/>
  <c r="C25" i="10"/>
  <c r="B17" i="2"/>
  <c r="D17" i="2" s="1"/>
  <c r="L25" i="10"/>
  <c r="L9" i="10"/>
  <c r="L22" i="10"/>
  <c r="L19" i="10"/>
  <c r="L16" i="10"/>
  <c r="L13" i="10"/>
  <c r="L10" i="10"/>
  <c r="M10" i="10" s="1"/>
  <c r="L6" i="10"/>
  <c r="L23" i="10"/>
  <c r="L20" i="10"/>
  <c r="C9" i="10"/>
  <c r="D35" i="2"/>
  <c r="D43" i="2"/>
  <c r="E9" i="10"/>
  <c r="D12" i="10"/>
  <c r="M12" i="10" s="1"/>
  <c r="I13" i="10"/>
  <c r="H16" i="10"/>
  <c r="G19" i="10"/>
  <c r="F22" i="10"/>
  <c r="K23" i="10"/>
  <c r="M23" i="10" s="1"/>
  <c r="E25" i="10"/>
  <c r="F9" i="10"/>
  <c r="E12" i="10"/>
  <c r="D15" i="10"/>
  <c r="I16" i="10"/>
  <c r="H19" i="10"/>
  <c r="G22" i="10"/>
  <c r="F25" i="10"/>
  <c r="H20" i="2"/>
  <c r="D36" i="2"/>
  <c r="D44" i="2"/>
  <c r="F12" i="10"/>
  <c r="E15" i="10"/>
  <c r="D18" i="10"/>
  <c r="I19" i="10"/>
  <c r="H22" i="10"/>
  <c r="G25" i="10"/>
  <c r="H9" i="10"/>
  <c r="G12" i="10"/>
  <c r="F15" i="10"/>
  <c r="K16" i="10"/>
  <c r="E18" i="10"/>
  <c r="J19" i="10"/>
  <c r="D21" i="10"/>
  <c r="I22" i="10"/>
  <c r="H25" i="10"/>
  <c r="J20" i="2"/>
  <c r="D29" i="2"/>
  <c r="D37" i="2"/>
  <c r="D7" i="10"/>
  <c r="I9" i="10"/>
  <c r="H12" i="10"/>
  <c r="G15" i="10"/>
  <c r="F18" i="10"/>
  <c r="K19" i="10"/>
  <c r="E21" i="10"/>
  <c r="J22" i="10"/>
  <c r="D24" i="10"/>
  <c r="I25" i="10"/>
  <c r="E7" i="10"/>
  <c r="D11" i="10"/>
  <c r="I12" i="10"/>
  <c r="H15" i="10"/>
  <c r="G18" i="10"/>
  <c r="F21" i="10"/>
  <c r="K22" i="10"/>
  <c r="E24" i="10"/>
  <c r="J25" i="10"/>
  <c r="D30" i="2"/>
  <c r="F7" i="10"/>
  <c r="K9" i="10"/>
  <c r="E11" i="10"/>
  <c r="J12" i="10"/>
  <c r="D14" i="10"/>
  <c r="I15" i="10"/>
  <c r="H18" i="10"/>
  <c r="G21" i="10"/>
  <c r="F24" i="10"/>
  <c r="K25" i="10"/>
  <c r="G7" i="10"/>
  <c r="B18" i="7" l="1"/>
  <c r="H18" i="7"/>
  <c r="G18" i="7"/>
  <c r="F18" i="7"/>
  <c r="E18" i="7"/>
  <c r="D18" i="7"/>
  <c r="C18" i="7"/>
  <c r="B116" i="7"/>
  <c r="C116" i="7"/>
  <c r="H116" i="7"/>
  <c r="G116" i="7"/>
  <c r="F116" i="7"/>
  <c r="E116" i="7"/>
  <c r="D116" i="7"/>
  <c r="H87" i="7"/>
  <c r="G87" i="7"/>
  <c r="F87" i="7"/>
  <c r="E87" i="7"/>
  <c r="D87" i="7"/>
  <c r="C87" i="7"/>
  <c r="B87" i="7"/>
  <c r="B22" i="7"/>
  <c r="H22" i="7"/>
  <c r="G22" i="7"/>
  <c r="F22" i="7"/>
  <c r="E22" i="7"/>
  <c r="D22" i="7"/>
  <c r="C22" i="7"/>
  <c r="B118" i="7"/>
  <c r="H118" i="7"/>
  <c r="G118" i="7"/>
  <c r="F118" i="7"/>
  <c r="E118" i="7"/>
  <c r="D118" i="7"/>
  <c r="C118" i="7"/>
  <c r="B82" i="7"/>
  <c r="H82" i="7"/>
  <c r="G82" i="7"/>
  <c r="F82" i="7"/>
  <c r="E82" i="7"/>
  <c r="D82" i="7"/>
  <c r="C82" i="7"/>
  <c r="H15" i="7"/>
  <c r="G15" i="7"/>
  <c r="F15" i="7"/>
  <c r="E15" i="7"/>
  <c r="D15" i="7"/>
  <c r="C15" i="7"/>
  <c r="B15" i="7"/>
  <c r="I22" i="2"/>
  <c r="B120" i="7"/>
  <c r="C120" i="7"/>
  <c r="H120" i="7"/>
  <c r="G120" i="7"/>
  <c r="F120" i="7"/>
  <c r="E120" i="7"/>
  <c r="D120" i="7"/>
  <c r="H91" i="7"/>
  <c r="G91" i="7"/>
  <c r="F91" i="7"/>
  <c r="E91" i="7"/>
  <c r="D91" i="7"/>
  <c r="C91" i="7"/>
  <c r="B91" i="7"/>
  <c r="H109" i="7"/>
  <c r="G109" i="7"/>
  <c r="F109" i="7"/>
  <c r="E109" i="7"/>
  <c r="D109" i="7"/>
  <c r="C109" i="7"/>
  <c r="B109" i="7"/>
  <c r="H57" i="7"/>
  <c r="G57" i="7"/>
  <c r="F57" i="7"/>
  <c r="E57" i="7"/>
  <c r="D57" i="7"/>
  <c r="C57" i="7"/>
  <c r="B57" i="7"/>
  <c r="H75" i="7"/>
  <c r="G75" i="7"/>
  <c r="F75" i="7"/>
  <c r="E75" i="7"/>
  <c r="D75" i="7"/>
  <c r="C75" i="7"/>
  <c r="B75" i="7"/>
  <c r="H97" i="7"/>
  <c r="G97" i="7"/>
  <c r="F97" i="7"/>
  <c r="E97" i="7"/>
  <c r="D97" i="7"/>
  <c r="C97" i="7"/>
  <c r="B97" i="7"/>
  <c r="B26" i="7"/>
  <c r="H26" i="7"/>
  <c r="G26" i="7"/>
  <c r="F26" i="7"/>
  <c r="E26" i="7"/>
  <c r="D26" i="7"/>
  <c r="C26" i="7"/>
  <c r="B58" i="7"/>
  <c r="H58" i="7"/>
  <c r="G58" i="7"/>
  <c r="F58" i="7"/>
  <c r="E58" i="7"/>
  <c r="D58" i="7"/>
  <c r="C58" i="7"/>
  <c r="B90" i="7"/>
  <c r="H90" i="7"/>
  <c r="G90" i="7"/>
  <c r="F90" i="7"/>
  <c r="E90" i="7"/>
  <c r="D90" i="7"/>
  <c r="C90" i="7"/>
  <c r="B122" i="7"/>
  <c r="H122" i="7"/>
  <c r="G122" i="7"/>
  <c r="F122" i="7"/>
  <c r="E122" i="7"/>
  <c r="D122" i="7"/>
  <c r="C122" i="7"/>
  <c r="H13" i="7"/>
  <c r="G13" i="7"/>
  <c r="F13" i="7"/>
  <c r="E13" i="7"/>
  <c r="D13" i="7"/>
  <c r="C13" i="7"/>
  <c r="B13" i="7"/>
  <c r="H29" i="7"/>
  <c r="G29" i="7"/>
  <c r="F29" i="7"/>
  <c r="E29" i="7"/>
  <c r="D29" i="7"/>
  <c r="C29" i="7"/>
  <c r="B29" i="7"/>
  <c r="M18" i="10"/>
  <c r="H93" i="7"/>
  <c r="G93" i="7"/>
  <c r="F93" i="7"/>
  <c r="E93" i="7"/>
  <c r="D93" i="7"/>
  <c r="C93" i="7"/>
  <c r="B93" i="7"/>
  <c r="B28" i="7"/>
  <c r="C28" i="7"/>
  <c r="H28" i="7"/>
  <c r="G28" i="7"/>
  <c r="F28" i="7"/>
  <c r="E28" i="7"/>
  <c r="D28" i="7"/>
  <c r="B60" i="7"/>
  <c r="C60" i="7"/>
  <c r="H60" i="7"/>
  <c r="G60" i="7"/>
  <c r="F60" i="7"/>
  <c r="E60" i="7"/>
  <c r="D60" i="7"/>
  <c r="B92" i="7"/>
  <c r="C92" i="7"/>
  <c r="H92" i="7"/>
  <c r="G92" i="7"/>
  <c r="F92" i="7"/>
  <c r="E92" i="7"/>
  <c r="D92" i="7"/>
  <c r="B124" i="7"/>
  <c r="C124" i="7"/>
  <c r="H124" i="7"/>
  <c r="G124" i="7"/>
  <c r="F124" i="7"/>
  <c r="E124" i="7"/>
  <c r="D124" i="7"/>
  <c r="B24" i="2"/>
  <c r="D12" i="2"/>
  <c r="B54" i="7"/>
  <c r="H54" i="7"/>
  <c r="G54" i="7"/>
  <c r="F54" i="7"/>
  <c r="E54" i="7"/>
  <c r="D54" i="7"/>
  <c r="C54" i="7"/>
  <c r="H101" i="7"/>
  <c r="G101" i="7"/>
  <c r="F101" i="7"/>
  <c r="E101" i="7"/>
  <c r="D101" i="7"/>
  <c r="C101" i="7"/>
  <c r="B101" i="7"/>
  <c r="H67" i="7"/>
  <c r="G67" i="7"/>
  <c r="F67" i="7"/>
  <c r="E67" i="7"/>
  <c r="D67" i="7"/>
  <c r="C67" i="7"/>
  <c r="B67" i="7"/>
  <c r="H127" i="7"/>
  <c r="G127" i="7"/>
  <c r="F127" i="7"/>
  <c r="E127" i="7"/>
  <c r="D127" i="7"/>
  <c r="C127" i="7"/>
  <c r="B127" i="7"/>
  <c r="H63" i="7"/>
  <c r="G63" i="7"/>
  <c r="F63" i="7"/>
  <c r="E63" i="7"/>
  <c r="D63" i="7"/>
  <c r="C63" i="7"/>
  <c r="B63" i="7"/>
  <c r="C24" i="2"/>
  <c r="M21" i="10"/>
  <c r="H89" i="7"/>
  <c r="G89" i="7"/>
  <c r="F89" i="7"/>
  <c r="E89" i="7"/>
  <c r="D89" i="7"/>
  <c r="C89" i="7"/>
  <c r="B89" i="7"/>
  <c r="B30" i="7"/>
  <c r="H30" i="7"/>
  <c r="G30" i="7"/>
  <c r="F30" i="7"/>
  <c r="E30" i="7"/>
  <c r="D30" i="7"/>
  <c r="C30" i="7"/>
  <c r="B62" i="7"/>
  <c r="H62" i="7"/>
  <c r="G62" i="7"/>
  <c r="F62" i="7"/>
  <c r="E62" i="7"/>
  <c r="D62" i="7"/>
  <c r="C62" i="7"/>
  <c r="B94" i="7"/>
  <c r="H94" i="7"/>
  <c r="G94" i="7"/>
  <c r="F94" i="7"/>
  <c r="E94" i="7"/>
  <c r="D94" i="7"/>
  <c r="C94" i="7"/>
  <c r="B126" i="7"/>
  <c r="H126" i="7"/>
  <c r="G126" i="7"/>
  <c r="F126" i="7"/>
  <c r="E126" i="7"/>
  <c r="D126" i="7"/>
  <c r="C126" i="7"/>
  <c r="H123" i="7"/>
  <c r="G123" i="7"/>
  <c r="F123" i="7"/>
  <c r="E123" i="7"/>
  <c r="D123" i="7"/>
  <c r="C123" i="7"/>
  <c r="B123" i="7"/>
  <c r="H59" i="7"/>
  <c r="G59" i="7"/>
  <c r="F59" i="7"/>
  <c r="E59" i="7"/>
  <c r="D59" i="7"/>
  <c r="C59" i="7"/>
  <c r="B59" i="7"/>
  <c r="D16" i="2"/>
  <c r="M7" i="10"/>
  <c r="H85" i="7"/>
  <c r="G85" i="7"/>
  <c r="F85" i="7"/>
  <c r="E85" i="7"/>
  <c r="D85" i="7"/>
  <c r="C85" i="7"/>
  <c r="B85" i="7"/>
  <c r="B32" i="7"/>
  <c r="C32" i="7"/>
  <c r="H32" i="7"/>
  <c r="G32" i="7"/>
  <c r="F32" i="7"/>
  <c r="E32" i="7"/>
  <c r="D32" i="7"/>
  <c r="B64" i="7"/>
  <c r="C64" i="7"/>
  <c r="H64" i="7"/>
  <c r="G64" i="7"/>
  <c r="F64" i="7"/>
  <c r="E64" i="7"/>
  <c r="D64" i="7"/>
  <c r="B96" i="7"/>
  <c r="C96" i="7"/>
  <c r="H96" i="7"/>
  <c r="G96" i="7"/>
  <c r="F96" i="7"/>
  <c r="E96" i="7"/>
  <c r="D96" i="7"/>
  <c r="B128" i="7"/>
  <c r="C128" i="7"/>
  <c r="H128" i="7"/>
  <c r="G128" i="7"/>
  <c r="F128" i="7"/>
  <c r="E128" i="7"/>
  <c r="D128" i="7"/>
  <c r="H27" i="7"/>
  <c r="G27" i="7"/>
  <c r="F27" i="7"/>
  <c r="E27" i="7"/>
  <c r="D27" i="7"/>
  <c r="C27" i="7"/>
  <c r="B27" i="7"/>
  <c r="H19" i="7"/>
  <c r="G19" i="7"/>
  <c r="F19" i="7"/>
  <c r="E19" i="7"/>
  <c r="D19" i="7"/>
  <c r="C19" i="7"/>
  <c r="B19" i="7"/>
  <c r="B86" i="7"/>
  <c r="H86" i="7"/>
  <c r="G86" i="7"/>
  <c r="F86" i="7"/>
  <c r="E86" i="7"/>
  <c r="D86" i="7"/>
  <c r="C86" i="7"/>
  <c r="H121" i="7"/>
  <c r="G121" i="7"/>
  <c r="F121" i="7"/>
  <c r="E121" i="7"/>
  <c r="D121" i="7"/>
  <c r="C121" i="7"/>
  <c r="B121" i="7"/>
  <c r="H81" i="7"/>
  <c r="G81" i="7"/>
  <c r="F81" i="7"/>
  <c r="E81" i="7"/>
  <c r="D81" i="7"/>
  <c r="C81" i="7"/>
  <c r="B81" i="7"/>
  <c r="B34" i="7"/>
  <c r="H34" i="7"/>
  <c r="G34" i="7"/>
  <c r="F34" i="7"/>
  <c r="E34" i="7"/>
  <c r="D34" i="7"/>
  <c r="C34" i="7"/>
  <c r="B66" i="7"/>
  <c r="H66" i="7"/>
  <c r="G66" i="7"/>
  <c r="F66" i="7"/>
  <c r="E66" i="7"/>
  <c r="D66" i="7"/>
  <c r="C66" i="7"/>
  <c r="B98" i="7"/>
  <c r="H98" i="7"/>
  <c r="G98" i="7"/>
  <c r="F98" i="7"/>
  <c r="E98" i="7"/>
  <c r="D98" i="7"/>
  <c r="C98" i="7"/>
  <c r="B130" i="7"/>
  <c r="H130" i="7"/>
  <c r="G130" i="7"/>
  <c r="F130" i="7"/>
  <c r="E130" i="7"/>
  <c r="D130" i="7"/>
  <c r="C130" i="7"/>
  <c r="H45" i="7"/>
  <c r="G45" i="7"/>
  <c r="F45" i="7"/>
  <c r="E45" i="7"/>
  <c r="D45" i="7"/>
  <c r="C45" i="7"/>
  <c r="B45" i="7"/>
  <c r="H113" i="7"/>
  <c r="G113" i="7"/>
  <c r="F113" i="7"/>
  <c r="E113" i="7"/>
  <c r="D113" i="7"/>
  <c r="C113" i="7"/>
  <c r="B113" i="7"/>
  <c r="H49" i="7"/>
  <c r="G49" i="7"/>
  <c r="F49" i="7"/>
  <c r="E49" i="7"/>
  <c r="D49" i="7"/>
  <c r="C49" i="7"/>
  <c r="B49" i="7"/>
  <c r="M11" i="10"/>
  <c r="H77" i="7"/>
  <c r="G77" i="7"/>
  <c r="F77" i="7"/>
  <c r="E77" i="7"/>
  <c r="D77" i="7"/>
  <c r="C77" i="7"/>
  <c r="B77" i="7"/>
  <c r="B36" i="7"/>
  <c r="C36" i="7"/>
  <c r="H36" i="7"/>
  <c r="G36" i="7"/>
  <c r="F36" i="7"/>
  <c r="E36" i="7"/>
  <c r="D36" i="7"/>
  <c r="B68" i="7"/>
  <c r="C68" i="7"/>
  <c r="H68" i="7"/>
  <c r="G68" i="7"/>
  <c r="F68" i="7"/>
  <c r="E68" i="7"/>
  <c r="D68" i="7"/>
  <c r="B100" i="7"/>
  <c r="C100" i="7"/>
  <c r="H100" i="7"/>
  <c r="G100" i="7"/>
  <c r="F100" i="7"/>
  <c r="E100" i="7"/>
  <c r="D100" i="7"/>
  <c r="B132" i="7"/>
  <c r="C132" i="7"/>
  <c r="H132" i="7"/>
  <c r="G132" i="7"/>
  <c r="F132" i="7"/>
  <c r="E132" i="7"/>
  <c r="D132" i="7"/>
  <c r="B50" i="7"/>
  <c r="H50" i="7"/>
  <c r="G50" i="7"/>
  <c r="F50" i="7"/>
  <c r="E50" i="7"/>
  <c r="D50" i="7"/>
  <c r="C50" i="7"/>
  <c r="B84" i="7"/>
  <c r="C84" i="7"/>
  <c r="H84" i="7"/>
  <c r="G84" i="7"/>
  <c r="F84" i="7"/>
  <c r="E84" i="7"/>
  <c r="D84" i="7"/>
  <c r="B88" i="7"/>
  <c r="C88" i="7"/>
  <c r="H88" i="7"/>
  <c r="G88" i="7"/>
  <c r="F88" i="7"/>
  <c r="E88" i="7"/>
  <c r="D88" i="7"/>
  <c r="M22" i="10"/>
  <c r="H119" i="7"/>
  <c r="G119" i="7"/>
  <c r="F119" i="7"/>
  <c r="E119" i="7"/>
  <c r="D119" i="7"/>
  <c r="C119" i="7"/>
  <c r="B119" i="7"/>
  <c r="H115" i="7"/>
  <c r="G115" i="7"/>
  <c r="F115" i="7"/>
  <c r="E115" i="7"/>
  <c r="D115" i="7"/>
  <c r="C115" i="7"/>
  <c r="B115" i="7"/>
  <c r="H111" i="7"/>
  <c r="G111" i="7"/>
  <c r="F111" i="7"/>
  <c r="E111" i="7"/>
  <c r="D111" i="7"/>
  <c r="C111" i="7"/>
  <c r="B111" i="7"/>
  <c r="H47" i="7"/>
  <c r="G47" i="7"/>
  <c r="F47" i="7"/>
  <c r="E47" i="7"/>
  <c r="D47" i="7"/>
  <c r="C47" i="7"/>
  <c r="B47" i="7"/>
  <c r="H53" i="7"/>
  <c r="G53" i="7"/>
  <c r="F53" i="7"/>
  <c r="E53" i="7"/>
  <c r="D53" i="7"/>
  <c r="C53" i="7"/>
  <c r="B53" i="7"/>
  <c r="M16" i="10"/>
  <c r="H25" i="7"/>
  <c r="G25" i="7"/>
  <c r="F25" i="7"/>
  <c r="E25" i="7"/>
  <c r="D25" i="7"/>
  <c r="C25" i="7"/>
  <c r="B25" i="7"/>
  <c r="M14" i="10"/>
  <c r="H61" i="7"/>
  <c r="G61" i="7"/>
  <c r="F61" i="7"/>
  <c r="E61" i="7"/>
  <c r="D61" i="7"/>
  <c r="C61" i="7"/>
  <c r="B61" i="7"/>
  <c r="B38" i="7"/>
  <c r="H38" i="7"/>
  <c r="G38" i="7"/>
  <c r="F38" i="7"/>
  <c r="E38" i="7"/>
  <c r="D38" i="7"/>
  <c r="C38" i="7"/>
  <c r="B70" i="7"/>
  <c r="H70" i="7"/>
  <c r="G70" i="7"/>
  <c r="F70" i="7"/>
  <c r="E70" i="7"/>
  <c r="D70" i="7"/>
  <c r="C70" i="7"/>
  <c r="B102" i="7"/>
  <c r="H102" i="7"/>
  <c r="G102" i="7"/>
  <c r="F102" i="7"/>
  <c r="E102" i="7"/>
  <c r="D102" i="7"/>
  <c r="C102" i="7"/>
  <c r="H23" i="7"/>
  <c r="G23" i="7"/>
  <c r="F23" i="7"/>
  <c r="E23" i="7"/>
  <c r="D23" i="7"/>
  <c r="C23" i="7"/>
  <c r="B23" i="7"/>
  <c r="H83" i="7"/>
  <c r="G83" i="7"/>
  <c r="F83" i="7"/>
  <c r="E83" i="7"/>
  <c r="D83" i="7"/>
  <c r="C83" i="7"/>
  <c r="B83" i="7"/>
  <c r="B20" i="7"/>
  <c r="C20" i="7"/>
  <c r="H20" i="7"/>
  <c r="G20" i="7"/>
  <c r="F20" i="7"/>
  <c r="E20" i="7"/>
  <c r="D20" i="7"/>
  <c r="B56" i="7"/>
  <c r="C56" i="7"/>
  <c r="H56" i="7"/>
  <c r="G56" i="7"/>
  <c r="F56" i="7"/>
  <c r="E56" i="7"/>
  <c r="D56" i="7"/>
  <c r="H131" i="7"/>
  <c r="G131" i="7"/>
  <c r="F131" i="7"/>
  <c r="E131" i="7"/>
  <c r="D131" i="7"/>
  <c r="C131" i="7"/>
  <c r="B131" i="7"/>
  <c r="H55" i="7"/>
  <c r="G55" i="7"/>
  <c r="F55" i="7"/>
  <c r="E55" i="7"/>
  <c r="D55" i="7"/>
  <c r="C55" i="7"/>
  <c r="B55" i="7"/>
  <c r="H51" i="7"/>
  <c r="G51" i="7"/>
  <c r="F51" i="7"/>
  <c r="E51" i="7"/>
  <c r="D51" i="7"/>
  <c r="C51" i="7"/>
  <c r="B51" i="7"/>
  <c r="H107" i="7"/>
  <c r="G107" i="7"/>
  <c r="F107" i="7"/>
  <c r="E107" i="7"/>
  <c r="D107" i="7"/>
  <c r="C107" i="7"/>
  <c r="B107" i="7"/>
  <c r="H43" i="7"/>
  <c r="G43" i="7"/>
  <c r="F43" i="7"/>
  <c r="E43" i="7"/>
  <c r="D43" i="7"/>
  <c r="C43" i="7"/>
  <c r="B43" i="7"/>
  <c r="H21" i="7"/>
  <c r="G21" i="7"/>
  <c r="F21" i="7"/>
  <c r="E21" i="7"/>
  <c r="D21" i="7"/>
  <c r="C21" i="7"/>
  <c r="B21" i="7"/>
  <c r="H41" i="7"/>
  <c r="G41" i="7"/>
  <c r="F41" i="7"/>
  <c r="E41" i="7"/>
  <c r="D41" i="7"/>
  <c r="C41" i="7"/>
  <c r="B41" i="7"/>
  <c r="B40" i="7"/>
  <c r="C40" i="7"/>
  <c r="H40" i="7"/>
  <c r="G40" i="7"/>
  <c r="F40" i="7"/>
  <c r="E40" i="7"/>
  <c r="D40" i="7"/>
  <c r="B72" i="7"/>
  <c r="C72" i="7"/>
  <c r="H72" i="7"/>
  <c r="G72" i="7"/>
  <c r="F72" i="7"/>
  <c r="E72" i="7"/>
  <c r="D72" i="7"/>
  <c r="B104" i="7"/>
  <c r="C104" i="7"/>
  <c r="H104" i="7"/>
  <c r="G104" i="7"/>
  <c r="F104" i="7"/>
  <c r="E104" i="7"/>
  <c r="D104" i="7"/>
  <c r="H37" i="7"/>
  <c r="G37" i="7"/>
  <c r="F37" i="7"/>
  <c r="E37" i="7"/>
  <c r="D37" i="7"/>
  <c r="C37" i="7"/>
  <c r="B37" i="7"/>
  <c r="B52" i="7"/>
  <c r="C52" i="7"/>
  <c r="H52" i="7"/>
  <c r="G52" i="7"/>
  <c r="F52" i="7"/>
  <c r="E52" i="7"/>
  <c r="D52" i="7"/>
  <c r="B24" i="7"/>
  <c r="C24" i="7"/>
  <c r="H24" i="7"/>
  <c r="G24" i="7"/>
  <c r="F24" i="7"/>
  <c r="E24" i="7"/>
  <c r="D24" i="7"/>
  <c r="M15" i="10"/>
  <c r="H103" i="7"/>
  <c r="G103" i="7"/>
  <c r="F103" i="7"/>
  <c r="E103" i="7"/>
  <c r="D103" i="7"/>
  <c r="C103" i="7"/>
  <c r="B103" i="7"/>
  <c r="M13" i="10"/>
  <c r="M20" i="10"/>
  <c r="D21" i="2"/>
  <c r="B42" i="7"/>
  <c r="H42" i="7"/>
  <c r="G42" i="7"/>
  <c r="F42" i="7"/>
  <c r="E42" i="7"/>
  <c r="D42" i="7"/>
  <c r="C42" i="7"/>
  <c r="B74" i="7"/>
  <c r="H74" i="7"/>
  <c r="G74" i="7"/>
  <c r="F74" i="7"/>
  <c r="E74" i="7"/>
  <c r="D74" i="7"/>
  <c r="C74" i="7"/>
  <c r="B106" i="7"/>
  <c r="H106" i="7"/>
  <c r="G106" i="7"/>
  <c r="F106" i="7"/>
  <c r="E106" i="7"/>
  <c r="D106" i="7"/>
  <c r="C106" i="7"/>
  <c r="B114" i="7"/>
  <c r="H114" i="7"/>
  <c r="G114" i="7"/>
  <c r="F114" i="7"/>
  <c r="E114" i="7"/>
  <c r="D114" i="7"/>
  <c r="C114" i="7"/>
  <c r="H79" i="7"/>
  <c r="G79" i="7"/>
  <c r="F79" i="7"/>
  <c r="E79" i="7"/>
  <c r="D79" i="7"/>
  <c r="C79" i="7"/>
  <c r="B79" i="7"/>
  <c r="H17" i="7"/>
  <c r="G17" i="7"/>
  <c r="F17" i="7"/>
  <c r="E17" i="7"/>
  <c r="D17" i="7"/>
  <c r="C17" i="7"/>
  <c r="B17" i="7"/>
  <c r="H39" i="7"/>
  <c r="G39" i="7"/>
  <c r="F39" i="7"/>
  <c r="E39" i="7"/>
  <c r="D39" i="7"/>
  <c r="C39" i="7"/>
  <c r="B39" i="7"/>
  <c r="M19" i="10"/>
  <c r="H99" i="7"/>
  <c r="G99" i="7"/>
  <c r="F99" i="7"/>
  <c r="E99" i="7"/>
  <c r="D99" i="7"/>
  <c r="C99" i="7"/>
  <c r="B99" i="7"/>
  <c r="H35" i="7"/>
  <c r="G35" i="7"/>
  <c r="F35" i="7"/>
  <c r="E35" i="7"/>
  <c r="D35" i="7"/>
  <c r="C35" i="7"/>
  <c r="B35" i="7"/>
  <c r="H117" i="7"/>
  <c r="G117" i="7"/>
  <c r="F117" i="7"/>
  <c r="E117" i="7"/>
  <c r="D117" i="7"/>
  <c r="C117" i="7"/>
  <c r="B117" i="7"/>
  <c r="J22" i="2"/>
  <c r="B44" i="7"/>
  <c r="C44" i="7"/>
  <c r="H44" i="7"/>
  <c r="G44" i="7"/>
  <c r="F44" i="7"/>
  <c r="E44" i="7"/>
  <c r="D44" i="7"/>
  <c r="B76" i="7"/>
  <c r="C76" i="7"/>
  <c r="H76" i="7"/>
  <c r="G76" i="7"/>
  <c r="F76" i="7"/>
  <c r="E76" i="7"/>
  <c r="D76" i="7"/>
  <c r="B108" i="7"/>
  <c r="C108" i="7"/>
  <c r="H108" i="7"/>
  <c r="G108" i="7"/>
  <c r="F108" i="7"/>
  <c r="E108" i="7"/>
  <c r="D108" i="7"/>
  <c r="H71" i="7"/>
  <c r="G71" i="7"/>
  <c r="F71" i="7"/>
  <c r="E71" i="7"/>
  <c r="D71" i="7"/>
  <c r="C71" i="7"/>
  <c r="B71" i="7"/>
  <c r="M9" i="10"/>
  <c r="H95" i="7"/>
  <c r="G95" i="7"/>
  <c r="F95" i="7"/>
  <c r="E95" i="7"/>
  <c r="D95" i="7"/>
  <c r="C95" i="7"/>
  <c r="B95" i="7"/>
  <c r="H31" i="7"/>
  <c r="G31" i="7"/>
  <c r="F31" i="7"/>
  <c r="E31" i="7"/>
  <c r="D31" i="7"/>
  <c r="C31" i="7"/>
  <c r="B31" i="7"/>
  <c r="H65" i="7"/>
  <c r="G65" i="7"/>
  <c r="F65" i="7"/>
  <c r="E65" i="7"/>
  <c r="D65" i="7"/>
  <c r="C65" i="7"/>
  <c r="B65" i="7"/>
  <c r="H129" i="7"/>
  <c r="G129" i="7"/>
  <c r="F129" i="7"/>
  <c r="E129" i="7"/>
  <c r="D129" i="7"/>
  <c r="C129" i="7"/>
  <c r="B129" i="7"/>
  <c r="H125" i="7"/>
  <c r="G125" i="7"/>
  <c r="F125" i="7"/>
  <c r="E125" i="7"/>
  <c r="D125" i="7"/>
  <c r="C125" i="7"/>
  <c r="B125" i="7"/>
  <c r="B14" i="7"/>
  <c r="H14" i="7"/>
  <c r="G14" i="7"/>
  <c r="F14" i="7"/>
  <c r="E14" i="7"/>
  <c r="D14" i="7"/>
  <c r="C14" i="7"/>
  <c r="B46" i="7"/>
  <c r="H46" i="7"/>
  <c r="G46" i="7"/>
  <c r="F46" i="7"/>
  <c r="E46" i="7"/>
  <c r="D46" i="7"/>
  <c r="C46" i="7"/>
  <c r="B78" i="7"/>
  <c r="H78" i="7"/>
  <c r="G78" i="7"/>
  <c r="F78" i="7"/>
  <c r="E78" i="7"/>
  <c r="D78" i="7"/>
  <c r="C78" i="7"/>
  <c r="B110" i="7"/>
  <c r="H110" i="7"/>
  <c r="G110" i="7"/>
  <c r="F110" i="7"/>
  <c r="E110" i="7"/>
  <c r="D110" i="7"/>
  <c r="C110" i="7"/>
  <c r="H33" i="7"/>
  <c r="G33" i="7"/>
  <c r="F33" i="7"/>
  <c r="E33" i="7"/>
  <c r="D33" i="7"/>
  <c r="C33" i="7"/>
  <c r="B33" i="7"/>
  <c r="H73" i="7"/>
  <c r="G73" i="7"/>
  <c r="F73" i="7"/>
  <c r="E73" i="7"/>
  <c r="D73" i="7"/>
  <c r="C73" i="7"/>
  <c r="B73" i="7"/>
  <c r="H105" i="7"/>
  <c r="G105" i="7"/>
  <c r="F105" i="7"/>
  <c r="E105" i="7"/>
  <c r="D105" i="7"/>
  <c r="C105" i="7"/>
  <c r="B105" i="7"/>
  <c r="H69" i="7"/>
  <c r="G69" i="7"/>
  <c r="F69" i="7"/>
  <c r="E69" i="7"/>
  <c r="D69" i="7"/>
  <c r="C69" i="7"/>
  <c r="B69" i="7"/>
  <c r="B16" i="7"/>
  <c r="C16" i="7"/>
  <c r="H16" i="7"/>
  <c r="G16" i="7"/>
  <c r="F16" i="7"/>
  <c r="E16" i="7"/>
  <c r="D16" i="7"/>
  <c r="B48" i="7"/>
  <c r="C48" i="7"/>
  <c r="H48" i="7"/>
  <c r="G48" i="7"/>
  <c r="F48" i="7"/>
  <c r="E48" i="7"/>
  <c r="D48" i="7"/>
  <c r="B80" i="7"/>
  <c r="C80" i="7"/>
  <c r="H80" i="7"/>
  <c r="G80" i="7"/>
  <c r="F80" i="7"/>
  <c r="E80" i="7"/>
  <c r="D80" i="7"/>
  <c r="B112" i="7"/>
  <c r="C112" i="7"/>
  <c r="H112" i="7"/>
  <c r="G112" i="7"/>
  <c r="F112" i="7"/>
  <c r="E112" i="7"/>
  <c r="D112" i="7"/>
  <c r="D24" i="2" l="1"/>
  <c r="M28" i="10"/>
  <c r="M25" i="10"/>
  <c r="K7" i="2" s="1"/>
  <c r="F6" i="7"/>
  <c r="M24" i="10"/>
  <c r="M29" i="10" s="1"/>
  <c r="M32" i="10" l="1"/>
</calcChain>
</file>

<file path=xl/sharedStrings.xml><?xml version="1.0" encoding="utf-8"?>
<sst xmlns="http://schemas.openxmlformats.org/spreadsheetml/2006/main" count="342" uniqueCount="252">
  <si>
    <t>Free rent tracking spreadsheet for small landlords | Version 2.0 (2026)</t>
  </si>
  <si>
    <t>www.simplerentledger.com</t>
  </si>
  <si>
    <t>Get started in 5 steps</t>
  </si>
  <si>
    <t>1. Settings</t>
  </si>
  <si>
    <t>Check the tax year (2026) and the IRS mileage rate. Update both every January.</t>
  </si>
  <si>
    <t>2. Properties</t>
  </si>
  <si>
    <t>Replace the sample properties with yours: nickname, address, purchase price, land value and the date it was first rented (placed in service).</t>
  </si>
  <si>
    <t>3. Tenants</t>
  </si>
  <si>
    <t>Add one row per unit, pick its property, and enter the tenant, lease dates, rent and deposit.</t>
  </si>
  <si>
    <t>4. Rent Log</t>
  </si>
  <si>
    <t>Each month, add a row per unit: due date, pick the unit, rent due, and what was paid. Status and balance are automatic.</t>
  </si>
  <si>
    <t>5. Expenses &amp; Mileage</t>
  </si>
  <si>
    <t>Log every cost and business drive. Shared costs (like an umbrella insurance policy) can be split across properties automatically.</t>
  </si>
  <si>
    <t>What each tab does</t>
  </si>
  <si>
    <t>Dashboard</t>
  </si>
  <si>
    <t>Rent collected, money owed, expenses and cash flow for the year, by month and by property.</t>
  </si>
  <si>
    <t>Properties</t>
  </si>
  <si>
    <t>Your rentals, including the depreciation estimate for the tax year.</t>
  </si>
  <si>
    <t>Tenants</t>
  </si>
  <si>
    <t>Units, tenants, leases and deposits. Flags leases ending within 60 days.</t>
  </si>
  <si>
    <t>Rent Log</t>
  </si>
  <si>
    <t>Every payment, with its status (Paid, Paid late, Partial, Unpaid, Due or Vacant) calculated for you.</t>
  </si>
  <si>
    <t>Tenant Ledger</t>
  </si>
  <si>
    <t>Pick a unit to see its full history with a running balance. Print it or save as PDF.</t>
  </si>
  <si>
    <t>Expenses</t>
  </si>
  <si>
    <t>Every cost, sorted into IRS Schedule E categories.</t>
  </si>
  <si>
    <t>Mileage</t>
  </si>
  <si>
    <t>Business drives at the IRS rate. Flows into Schedule E Line 6.</t>
  </si>
  <si>
    <t>Schedule E</t>
  </si>
  <si>
    <t>Your year end summary with one column per property, ready for your tax preparer.</t>
  </si>
  <si>
    <t>Color guide</t>
  </si>
  <si>
    <t>White cells</t>
  </si>
  <si>
    <t>You type here.</t>
  </si>
  <si>
    <t>Light green cells</t>
  </si>
  <si>
    <t>Automatic formulas. Do not type over them.</t>
  </si>
  <si>
    <t>Medium green cells</t>
  </si>
  <si>
    <t>Settings and selections you can change.</t>
  </si>
  <si>
    <t>Sample data</t>
  </si>
  <si>
    <t>Starting fresh</t>
  </si>
  <si>
    <t>The example version comes with sample data so you can see how it works. To start clean, delete the values in the white cells of Properties, Tenants, Rent Log, Expenses and Mileage (select the cells and press Delete). Do not delete whole columns. Or download the blank version from our website.</t>
  </si>
  <si>
    <t>Renaming</t>
  </si>
  <si>
    <t>To rename a property or unit, use Find &amp; Replace (Ctrl+H, or Edit &gt; Find and replace in Google Sheets): type the old name, the new name, and click Replace all. Every tab updates, and your totals stay the same.</t>
  </si>
  <si>
    <t>Important</t>
  </si>
  <si>
    <t/>
  </si>
  <si>
    <t>This template helps you keep organized records. Depreciation is an estimate. Late fee and security deposit rules vary by state. Review your numbers with a qualified tax professional before filing.</t>
  </si>
  <si>
    <t>Official sources</t>
  </si>
  <si>
    <t>IRS Publication 527 (Residential Rental Property) | Instructions for Schedule E (Form 1040) | IRS standard mileage rates (irs.gov).</t>
  </si>
  <si>
    <t>Free to use</t>
  </si>
  <si>
    <t>Use it for your own rentals. Please do not resell or republish it. Questions or ideas: simplerentledger.com/contact</t>
  </si>
  <si>
    <t>Your year at a glance. Everything here updates automatically from the other tabs. Change the year in Settings.</t>
  </si>
  <si>
    <t>Rent collected</t>
  </si>
  <si>
    <t>Owed by tenants (now)</t>
  </si>
  <si>
    <t>Cash expenses</t>
  </si>
  <si>
    <t>Net operating cash</t>
  </si>
  <si>
    <t>Late or partial payments</t>
  </si>
  <si>
    <t>Schedule E net (after depreciation)</t>
  </si>
  <si>
    <t>"Net operating cash" = rent collected minus cash expenses (excludes loan principal and capital improvements). Mileage and depreciation are tax deductions, not cash.</t>
  </si>
  <si>
    <t>Month by month</t>
  </si>
  <si>
    <t>By property</t>
  </si>
  <si>
    <t>Month</t>
  </si>
  <si>
    <t>Net</t>
  </si>
  <si>
    <t>Property</t>
  </si>
  <si>
    <t>Units</t>
  </si>
  <si>
    <t>Owed now</t>
  </si>
  <si>
    <t>Net cash</t>
  </si>
  <si>
    <t>Sched. E net</t>
  </si>
  <si>
    <t>Total</t>
  </si>
  <si>
    <t>Expenses by Schedule E category</t>
  </si>
  <si>
    <t>Category</t>
  </si>
  <si>
    <t>Amount</t>
  </si>
  <si>
    <t>% of total</t>
  </si>
  <si>
    <t>Advertising</t>
  </si>
  <si>
    <t>Line 5</t>
  </si>
  <si>
    <t>Auto and Travel</t>
  </si>
  <si>
    <t>Line 6</t>
  </si>
  <si>
    <t>Cleaning and Maintenance</t>
  </si>
  <si>
    <t>Line 7</t>
  </si>
  <si>
    <t>Commissions</t>
  </si>
  <si>
    <t>Line 8</t>
  </si>
  <si>
    <t>Insurance</t>
  </si>
  <si>
    <t>Line 9</t>
  </si>
  <si>
    <t>Legal and Professional Fees</t>
  </si>
  <si>
    <t>Line 10</t>
  </si>
  <si>
    <t>Management Fees</t>
  </si>
  <si>
    <t>Line 11</t>
  </si>
  <si>
    <t>Mortgage Interest</t>
  </si>
  <si>
    <t>Line 12</t>
  </si>
  <si>
    <t>Other Interest</t>
  </si>
  <si>
    <t>Line 13</t>
  </si>
  <si>
    <t>Repairs</t>
  </si>
  <si>
    <t>Line 14</t>
  </si>
  <si>
    <t>Supplies</t>
  </si>
  <si>
    <t>Line 15</t>
  </si>
  <si>
    <t>Taxes</t>
  </si>
  <si>
    <t>Line 16</t>
  </si>
  <si>
    <t>Utilities</t>
  </si>
  <si>
    <t>Line 17</t>
  </si>
  <si>
    <t>Other</t>
  </si>
  <si>
    <t>Line 19</t>
  </si>
  <si>
    <t>Capital Improvement (not deductible)</t>
  </si>
  <si>
    <t>Depreciate</t>
  </si>
  <si>
    <t>Mortgage Principal (not deductible)</t>
  </si>
  <si>
    <t>Not deductible</t>
  </si>
  <si>
    <t>Auto and Travel includes the Mileage tab deduction. Items marked "not deductible" are shown for your records only.</t>
  </si>
  <si>
    <t>Settings</t>
  </si>
  <si>
    <t>Set these once a year. Every other tab reads from here.</t>
  </si>
  <si>
    <t>Setting</t>
  </si>
  <si>
    <t>Value</t>
  </si>
  <si>
    <t>Notes</t>
  </si>
  <si>
    <t>Tax year</t>
  </si>
  <si>
    <t>The year your Dashboard and Schedule E summarize.</t>
  </si>
  <si>
    <t>IRS mileage rate, first part of year ($ per mile)</t>
  </si>
  <si>
    <t>2026: 72.5 cents per mile for drives from 01/01 to 06/30 (IRS Notice 2026-10). Update every January: irs.gov (search "standard mileage rates")</t>
  </si>
  <si>
    <t>Grace period (days after due date)</t>
  </si>
  <si>
    <t>Payments received within this many days of the due date count as on time. Check your lease and state law.</t>
  </si>
  <si>
    <t>Default late fee ($)</t>
  </si>
  <si>
    <t>Shown for reference only. Type the fee you actually charge in the Rent Log. Many states cap late fees.</t>
  </si>
  <si>
    <t>Add each rental property once (up to 10). Every other tab uses these nicknames. You can rename a property here at any time.</t>
  </si>
  <si>
    <t>White = you type. Light green = automatic. Land value is not depreciable; use your county assessor or closing papers to split land vs. building.</t>
  </si>
  <si>
    <t>Property Nickname (unique)</t>
  </si>
  <si>
    <t>Street Address</t>
  </si>
  <si>
    <t>City</t>
  </si>
  <si>
    <t>State</t>
  </si>
  <si>
    <t>Type</t>
  </si>
  <si>
    <t>Purchase Price</t>
  </si>
  <si>
    <t>Land Value</t>
  </si>
  <si>
    <t>Capital Improvements</t>
  </si>
  <si>
    <t>Placed in Service</t>
  </si>
  <si>
    <t>Depreciable Basis</t>
  </si>
  <si>
    <t>Depreciation (tax year)</t>
  </si>
  <si>
    <t>Mortgage P&amp;I / mo</t>
  </si>
  <si>
    <t>Example: Main House, 123 Main St, Austin, TX, Single Family…</t>
  </si>
  <si>
    <t>TOTAL</t>
  </si>
  <si>
    <t>Depreciation uses the IRS 27.5 year straight line method for residential rental property with the mid month convention (IRS Publication 527 and 946). It is an estimate to help you plan. Your tax preparer files the actual figures on Form 4562.</t>
  </si>
  <si>
    <t>Units &amp; Tenants</t>
  </si>
  <si>
    <t>One row per rental unit (a single family home is one unit). The Unit name is what you pick in the Rent Log.</t>
  </si>
  <si>
    <t>Tip: name units like "Tampa Duplex Unit 1". For a vacant unit, keep the row and leave Tenant Name blank.</t>
  </si>
  <si>
    <t>Unit Name (unique)</t>
  </si>
  <si>
    <t>Tenant Name</t>
  </si>
  <si>
    <t>Phone</t>
  </si>
  <si>
    <t>Email</t>
  </si>
  <si>
    <t>Lease Start</t>
  </si>
  <si>
    <t>Lease End</t>
  </si>
  <si>
    <t>Monthly Rent</t>
  </si>
  <si>
    <t>Rent Due Day</t>
  </si>
  <si>
    <t>Security Deposit</t>
  </si>
  <si>
    <t>Lease Status</t>
  </si>
  <si>
    <t>Balance Owed (now)</t>
  </si>
  <si>
    <t>One row per month per unit. Type the due date, pick the unit, and enter what was paid. Status and balance fill in automatically.</t>
  </si>
  <si>
    <t>Status: Paid = in full within the grace period | Paid late | Partial | Unpaid (past due) | Due (not yet due) | Vacant. Balance = Rent Due + Late Fee minus Amount Paid.</t>
  </si>
  <si>
    <t>Columns N to R are hidden helper columns used by other tabs. Leave them as they are.</t>
  </si>
  <si>
    <t>Due Date</t>
  </si>
  <si>
    <t>Unit</t>
  </si>
  <si>
    <t>Tenant</t>
  </si>
  <si>
    <t>Rent Due</t>
  </si>
  <si>
    <t>Late Fee Charged</t>
  </si>
  <si>
    <t>Amount Paid</t>
  </si>
  <si>
    <t>Date Paid</t>
  </si>
  <si>
    <t>Method</t>
  </si>
  <si>
    <t>Vacant? (Y)</t>
  </si>
  <si>
    <t>Status</t>
  </si>
  <si>
    <t>Balance (this row)</t>
  </si>
  <si>
    <t>Tax Year</t>
  </si>
  <si>
    <t>Seq</t>
  </si>
  <si>
    <t>Key</t>
  </si>
  <si>
    <t>Paid YYYYMM</t>
  </si>
  <si>
    <t>Due Year</t>
  </si>
  <si>
    <t>Pick a unit to see its full payment history and running balance. Print or save as PDF for a tenant, court or housing agency.</t>
  </si>
  <si>
    <t>Select unit:</t>
  </si>
  <si>
    <t>Current balance owed</t>
  </si>
  <si>
    <t>Printed:</t>
  </si>
  <si>
    <t>Monthly rent</t>
  </si>
  <si>
    <t>Security deposit</t>
  </si>
  <si>
    <t>Entries appear in the order you typed them in the Rent Log, so log months in order. A negative balance means the tenant has a credit (overpaid). Security deposits are not included in the balance.</t>
  </si>
  <si>
    <t>#</t>
  </si>
  <si>
    <t>Charge (rent + fee)</t>
  </si>
  <si>
    <t>Payment</t>
  </si>
  <si>
    <t>Running Balance</t>
  </si>
  <si>
    <t>Log every rental cost. Pick the property (or "All Properties (split)" for shared costs, split by number of units) and a Schedule E category.</t>
  </si>
  <si>
    <t>Car mileage goes in the Mileage tab (not here). Use "Auto and Travel" here only for tolls, parking or flights. Capital improvements and loan principal are tracked but not deducted.</t>
  </si>
  <si>
    <t>Tip: for mortgage interest, use the amount on your lender statement or Form 1098, not your full payment.</t>
  </si>
  <si>
    <t>Date</t>
  </si>
  <si>
    <t>Description</t>
  </si>
  <si>
    <t>Paid With</t>
  </si>
  <si>
    <t>Receipt Saved? (Y/N)</t>
  </si>
  <si>
    <t>Year</t>
  </si>
  <si>
    <t>YYYYMM</t>
  </si>
  <si>
    <t>Mileage Log</t>
  </si>
  <si>
    <t>Every business drive for your rentals: inspections, repairs, showings, supply runs. The deduction flows into Schedule E Line 6.</t>
  </si>
  <si>
    <t>Deduction = miles × the rate in Settings. You can use the standard mileage rate or actual car expenses, not both. Keep this log as your record.</t>
  </si>
  <si>
    <t>Commuting to a regular job does not count. Trips between your home office and properties generally do; ask your tax preparer if unsure.</t>
  </si>
  <si>
    <t>Route (from and to)</t>
  </si>
  <si>
    <t>Purpose</t>
  </si>
  <si>
    <t>Miles</t>
  </si>
  <si>
    <t>Deduction</t>
  </si>
  <si>
    <t>Schedule E Summary</t>
  </si>
  <si>
    <t>One column per property, like IRS Schedule E (Form 1040) Part I. Uses the tax year in Settings. A record keeping summary.</t>
  </si>
  <si>
    <t>Schedule E line</t>
  </si>
  <si>
    <t>Category (from Expenses)</t>
  </si>
  <si>
    <t>Share of shared costs (by units)</t>
  </si>
  <si>
    <t>Line 3. Rents received</t>
  </si>
  <si>
    <t>Rent Log (paid, incl. late fees)</t>
  </si>
  <si>
    <t>Line 5. Advertising</t>
  </si>
  <si>
    <t>Line 6. Auto and travel</t>
  </si>
  <si>
    <t>Mileage tab + Auto and Travel</t>
  </si>
  <si>
    <t>Line 7. Cleaning and maintenance</t>
  </si>
  <si>
    <t>Line 8. Commissions</t>
  </si>
  <si>
    <t>Line 9. Insurance</t>
  </si>
  <si>
    <t>Line 10. Legal and other professional fees</t>
  </si>
  <si>
    <t>Line 11. Management fees</t>
  </si>
  <si>
    <t>Line 12. Mortgage interest paid to banks</t>
  </si>
  <si>
    <t>Line 13. Other interest</t>
  </si>
  <si>
    <t>Line 14. Repairs</t>
  </si>
  <si>
    <t>Line 15. Supplies</t>
  </si>
  <si>
    <t>Line 16. Taxes</t>
  </si>
  <si>
    <t>Line 17. Utilities</t>
  </si>
  <si>
    <t>Line 18. Depreciation (estimate)</t>
  </si>
  <si>
    <t>From Properties tab</t>
  </si>
  <si>
    <t>Line 19. Other</t>
  </si>
  <si>
    <t>Line 20. Total expenses</t>
  </si>
  <si>
    <t>Line 21. Income or (loss)</t>
  </si>
  <si>
    <t>Cash flow check (real money)</t>
  </si>
  <si>
    <t>Rent received (Line 3)</t>
  </si>
  <si>
    <t>Cash expenses (Line 20 minus depreciation and mileage)</t>
  </si>
  <si>
    <t>Mortgage principal paid (not deductible)</t>
  </si>
  <si>
    <t>Capital improvements (not deductible)</t>
  </si>
  <si>
    <t>Net cash flow after loan principal and improvements</t>
  </si>
  <si>
    <t>Notes:</t>
  </si>
  <si>
    <t>• Line 3 counts rent and late fees actually received in the tax year (by date paid). Security deposits are not income unless you keep them.</t>
  </si>
  <si>
    <t>• "All Properties (split)" costs are divided by each property's share of total units (row 6).</t>
  </si>
  <si>
    <t>• Line 6 = Mileage tab deduction (miles × IRS rate) plus tolls/parking logged as "Auto and Travel".</t>
  </si>
  <si>
    <t>• Line 18 is an estimate (27.5 years, mid month convention). Your tax preparer reports depreciation on Form 4562.</t>
  </si>
  <si>
    <t>• Passive activity loss limits, personal use days and other rules can change what you can deduct. Review with a tax professional.</t>
  </si>
  <si>
    <t>• IRS sources: Instructions for Schedule E (Form 1040); Publication 527, Residential Rental Property.</t>
  </si>
  <si>
    <t>Helper lists for dropdowns. Do not edit unless you know what you are changing.</t>
  </si>
  <si>
    <t>Expense category</t>
  </si>
  <si>
    <t>Property + split option</t>
  </si>
  <si>
    <t>Property type</t>
  </si>
  <si>
    <t>All Properties (split)</t>
  </si>
  <si>
    <t>Zelle</t>
  </si>
  <si>
    <t>Single Family</t>
  </si>
  <si>
    <t>Check</t>
  </si>
  <si>
    <t>Duplex</t>
  </si>
  <si>
    <t>Cash</t>
  </si>
  <si>
    <t>Triplex</t>
  </si>
  <si>
    <t>ACH / Bank transfer</t>
  </si>
  <si>
    <t>Fourplex</t>
  </si>
  <si>
    <t>Rent app</t>
  </si>
  <si>
    <t>Condo</t>
  </si>
  <si>
    <t>Money order</t>
  </si>
  <si>
    <t>Townhouse</t>
  </si>
  <si>
    <t>Venmo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</si>
</sst>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Red]&quot;($&quot;#,##0\);\$0"/>
    <numFmt numFmtId="165" formatCode="mmm\ yyyy"/>
    <numFmt numFmtId="166" formatCode="0.0%"/>
    <numFmt numFmtId="167" formatCode="\$0.000"/>
    <numFmt numFmtId="168" formatCode="\$#,##0"/>
    <numFmt numFmtId="169" formatCode="mm/dd/yyyy"/>
    <numFmt numFmtId="170" formatCode="\$#,##0.00;[Red]&quot;($&quot;#,##0.00\);\$0.00"/>
    <numFmt numFmtId="171" formatCode="\$#,##0.00;&quot;($&quot;#,##0.00\);\$0.00"/>
  </numFmts>
  <fonts count="26" x14ac:knownFonts="1">
    <font>
      <sz val="11"/>
      <color theme="1"/>
      <name val="Calibri"/>
      <family val="2"/>
      <charset val="1"/>
    </font>
    <font>
      <i/>
      <sz val="13"/>
      <color rgb="FF2E6B5A"/>
      <name val="Arial"/>
      <family val="2"/>
    </font>
    <font>
      <b/>
      <sz val="12"/>
      <color rgb="FF0F7A55"/>
      <name val="Arial"/>
      <family val="2"/>
    </font>
    <font>
      <b/>
      <sz val="14"/>
      <color rgb="FFFFFFFF"/>
      <name val="Arial"/>
      <family val="2"/>
    </font>
    <font>
      <b/>
      <sz val="12"/>
      <color rgb="FF16362E"/>
      <name val="Arial"/>
      <family val="2"/>
    </font>
    <font>
      <sz val="12"/>
      <name val="Arial"/>
      <family val="2"/>
    </font>
    <font>
      <b/>
      <sz val="18"/>
      <color rgb="FF16362E"/>
      <name val="Arial"/>
      <family val="2"/>
    </font>
    <font>
      <i/>
      <sz val="12"/>
      <color rgb="FF2E6B5A"/>
      <name val="Arial"/>
      <family val="2"/>
    </font>
    <font>
      <sz val="11"/>
      <color rgb="FF0F7A55"/>
      <name val="Arial"/>
      <family val="2"/>
    </font>
    <font>
      <b/>
      <sz val="13"/>
      <color rgb="FF0F7A55"/>
      <name val="Arial"/>
      <family val="2"/>
    </font>
    <font>
      <b/>
      <sz val="18"/>
      <color rgb="FF0F7A55"/>
      <name val="Arial"/>
      <family val="2"/>
    </font>
    <font>
      <b/>
      <sz val="18"/>
      <color rgb="FFC62828"/>
      <name val="Arial"/>
      <family val="2"/>
    </font>
    <font>
      <b/>
      <sz val="18"/>
      <color rgb="FFB45309"/>
      <name val="Arial"/>
      <family val="2"/>
    </font>
    <font>
      <sz val="11"/>
      <color rgb="FF2E6B5A"/>
      <name val="Arial"/>
      <family val="2"/>
    </font>
    <font>
      <b/>
      <sz val="14"/>
      <color rgb="FF16362E"/>
      <name val="Arial"/>
      <family val="2"/>
    </font>
    <font>
      <b/>
      <sz val="12"/>
      <color rgb="FFFFFFFF"/>
      <name val="Arial"/>
      <family val="2"/>
    </font>
    <font>
      <b/>
      <sz val="12"/>
      <name val="Arial"/>
      <family val="2"/>
    </font>
    <font>
      <sz val="12"/>
      <color rgb="FF000000"/>
      <name val="Arial"/>
      <family val="2"/>
    </font>
    <font>
      <i/>
      <sz val="12"/>
      <color rgb="FF16362E"/>
      <name val="Arial"/>
      <family val="2"/>
    </font>
    <font>
      <b/>
      <sz val="12"/>
      <color rgb="FF1A1A1A"/>
      <name val="Arial"/>
      <family val="2"/>
    </font>
    <font>
      <sz val="12"/>
      <color rgb="FF202124"/>
      <name val="Arial"/>
      <family val="2"/>
    </font>
    <font>
      <i/>
      <sz val="11"/>
      <color rgb="FF2E6B5A"/>
      <name val="Arial"/>
      <family val="2"/>
    </font>
    <font>
      <b/>
      <sz val="13"/>
      <name val="Arial"/>
      <family val="2"/>
    </font>
    <font>
      <b/>
      <sz val="13"/>
      <color rgb="FF1A1A1A"/>
      <name val="Arial"/>
      <family val="2"/>
    </font>
    <font>
      <b/>
      <sz val="16"/>
      <color rgb="FF16362E"/>
      <name val="Arial"/>
      <family val="2"/>
    </font>
    <font>
      <b/>
      <sz val="11"/>
      <color rgb="FF2E6B5A"/>
      <name val="Arial"/>
      <family val="2"/>
    </font>
  </fonts>
  <fills count="8">
    <fill>
      <patternFill patternType="none"/>
    </fill>
    <fill>
      <patternFill patternType="gray125"/>
    </fill>
    <fill>
      <patternFill patternType="solid">
        <fgColor rgb="FF0F7A55"/>
        <bgColor rgb="FF0F7A55"/>
      </patternFill>
    </fill>
    <fill>
      <patternFill patternType="solid">
        <fgColor rgb="FFE8F5E9"/>
        <bgColor rgb="FFE1F5EE"/>
      </patternFill>
    </fill>
    <fill>
      <patternFill patternType="solid">
        <fgColor rgb="FFFFFFFF"/>
        <bgColor rgb="FFEEF7F2"/>
      </patternFill>
    </fill>
    <fill>
      <patternFill patternType="solid">
        <fgColor rgb="FFC8E6D3"/>
        <bgColor rgb="FFE2F0E7"/>
      </patternFill>
    </fill>
    <fill>
      <patternFill patternType="solid">
        <fgColor rgb="FF16362E"/>
        <bgColor rgb="FF003366"/>
      </patternFill>
    </fill>
    <fill>
      <patternFill patternType="solid">
        <fgColor rgb="FFEEF7F2"/>
        <bgColor rgb="FFE8F5E9"/>
      </patternFill>
    </fill>
  </fills>
  <borders count="6">
    <border>
      <left/>
      <right/>
      <top/>
      <bottom/>
      <diagonal/>
    </border>
    <border>
      <left style="thin">
        <color rgb="FFCFE3D9"/>
      </left>
      <right style="thin">
        <color rgb="FFCFE3D9"/>
      </right>
      <top style="thin">
        <color rgb="FFCFE3D9"/>
      </top>
      <bottom style="thin">
        <color rgb="FFCFE3D9"/>
      </bottom>
      <diagonal/>
    </border>
    <border>
      <left/>
      <right/>
      <top style="thick">
        <color rgb="FF0F7A55"/>
      </top>
      <bottom/>
      <diagonal/>
    </border>
    <border>
      <left/>
      <right/>
      <top style="thick">
        <color rgb="FFC62828"/>
      </top>
      <bottom/>
      <diagonal/>
    </border>
    <border>
      <left/>
      <right/>
      <top style="thick">
        <color rgb="FFB45309"/>
      </top>
      <bottom/>
      <diagonal/>
    </border>
    <border>
      <left/>
      <right/>
      <top style="thick">
        <color rgb="FF16362E"/>
      </top>
      <bottom/>
      <diagonal/>
    </border>
  </borders>
  <cellStyleXfs count="1">
    <xf numFmtId="0" fontId="0" fillId="0" borderId="0"/>
  </cellStyleXfs>
  <cellXfs count="78">
    <xf numFmtId="0" fontId="0" fillId="0" borderId="0" xfId="0"/>
    <xf numFmtId="0" fontId="23" fillId="5" borderId="1" xfId="0" applyFont="1" applyFill="1" applyBorder="1"/>
    <xf numFmtId="0" fontId="22" fillId="0" borderId="0" xfId="0" applyFont="1"/>
    <xf numFmtId="0" fontId="4" fillId="3" borderId="1" xfId="0" applyFont="1" applyFill="1" applyBorder="1" applyAlignment="1">
      <alignment vertical="center"/>
    </xf>
    <xf numFmtId="0" fontId="15" fillId="2" borderId="1" xfId="0" applyFont="1" applyFill="1" applyBorder="1" applyAlignment="1">
      <alignment horizontal="left" vertical="center" indent="1"/>
    </xf>
    <xf numFmtId="1" fontId="11" fillId="3" borderId="0" xfId="0" applyNumberFormat="1" applyFont="1" applyFill="1" applyAlignment="1">
      <alignment horizontal="center" vertical="center"/>
    </xf>
    <xf numFmtId="164" fontId="6" fillId="3" borderId="0" xfId="0" applyNumberFormat="1" applyFont="1" applyFill="1" applyAlignment="1">
      <alignment horizontal="center" vertical="center"/>
    </xf>
    <xf numFmtId="164" fontId="12" fillId="3" borderId="0" xfId="0" applyNumberFormat="1" applyFont="1" applyFill="1" applyAlignment="1">
      <alignment horizontal="center" vertical="center"/>
    </xf>
    <xf numFmtId="164" fontId="11" fillId="3" borderId="0" xfId="0" applyNumberFormat="1" applyFont="1" applyFill="1" applyAlignment="1">
      <alignment horizontal="center" vertical="center"/>
    </xf>
    <xf numFmtId="164" fontId="10" fillId="3" borderId="0" xfId="0" applyNumberFormat="1" applyFont="1" applyFill="1" applyAlignment="1">
      <alignment horizontal="center" vertical="center"/>
    </xf>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3" fillId="2" borderId="1" xfId="0" applyFont="1" applyFill="1" applyBorder="1" applyAlignment="1">
      <alignment vertical="center" indent="1"/>
    </xf>
    <xf numFmtId="0" fontId="1" fillId="0" borderId="0" xfId="0" applyFont="1"/>
    <xf numFmtId="0" fontId="2" fillId="0" borderId="0" xfId="0" applyFont="1"/>
    <xf numFmtId="0" fontId="4" fillId="3" borderId="1" xfId="0" applyFont="1" applyFill="1" applyBorder="1" applyAlignment="1">
      <alignment vertical="center" wrapText="1" indent="1"/>
    </xf>
    <xf numFmtId="0" fontId="5" fillId="0" borderId="1" xfId="0" applyFont="1" applyBorder="1" applyAlignment="1">
      <alignment vertical="center" wrapText="1" indent="1"/>
    </xf>
    <xf numFmtId="0" fontId="4" fillId="4" borderId="1" xfId="0" applyFont="1" applyFill="1" applyBorder="1" applyAlignment="1">
      <alignment vertical="center" wrapText="1" indent="1"/>
    </xf>
    <xf numFmtId="0" fontId="4" fillId="5" borderId="1" xfId="0" applyFont="1" applyFill="1" applyBorder="1" applyAlignment="1">
      <alignment vertical="center" wrapText="1" indent="1"/>
    </xf>
    <xf numFmtId="0" fontId="6" fillId="0" borderId="0" xfId="0" applyFont="1"/>
    <xf numFmtId="0" fontId="7" fillId="0" borderId="0" xfId="0" applyFont="1"/>
    <xf numFmtId="0" fontId="8" fillId="0" borderId="0" xfId="0" applyFont="1"/>
    <xf numFmtId="0" fontId="9" fillId="0" borderId="0" xfId="0" applyFont="1"/>
    <xf numFmtId="0" fontId="13" fillId="0" borderId="0" xfId="0" applyFont="1"/>
    <xf numFmtId="0" fontId="14" fillId="0" borderId="0" xfId="0" applyFont="1"/>
    <xf numFmtId="0" fontId="15" fillId="2" borderId="1" xfId="0" applyFont="1" applyFill="1" applyBorder="1" applyAlignment="1">
      <alignment horizontal="center" vertical="center" wrapText="1"/>
    </xf>
    <xf numFmtId="165" fontId="5" fillId="0" borderId="1" xfId="0" applyNumberFormat="1" applyFont="1" applyBorder="1"/>
    <xf numFmtId="164" fontId="5" fillId="0" borderId="1" xfId="0" applyNumberFormat="1" applyFont="1" applyBorder="1"/>
    <xf numFmtId="0" fontId="5" fillId="0" borderId="1" xfId="0" applyFont="1" applyBorder="1"/>
    <xf numFmtId="0" fontId="16" fillId="3" borderId="1" xfId="0" applyFont="1" applyFill="1" applyBorder="1"/>
    <xf numFmtId="1" fontId="16" fillId="3" borderId="1" xfId="0" applyNumberFormat="1" applyFont="1" applyFill="1" applyBorder="1"/>
    <xf numFmtId="164" fontId="16" fillId="3" borderId="1" xfId="0" applyNumberFormat="1" applyFont="1" applyFill="1" applyBorder="1"/>
    <xf numFmtId="0" fontId="17" fillId="0" borderId="1" xfId="0" applyFont="1" applyBorder="1"/>
    <xf numFmtId="164" fontId="17" fillId="0" borderId="1" xfId="0" applyNumberFormat="1" applyFont="1" applyBorder="1"/>
    <xf numFmtId="166" fontId="17" fillId="0" borderId="1" xfId="0" applyNumberFormat="1" applyFont="1" applyBorder="1"/>
    <xf numFmtId="0" fontId="18" fillId="0" borderId="1" xfId="0" applyFont="1" applyBorder="1"/>
    <xf numFmtId="164" fontId="18" fillId="0" borderId="1" xfId="0" applyNumberFormat="1" applyFont="1" applyBorder="1"/>
    <xf numFmtId="166" fontId="18" fillId="0" borderId="1" xfId="0" applyNumberFormat="1" applyFont="1" applyBorder="1"/>
    <xf numFmtId="0" fontId="15" fillId="2" borderId="1" xfId="0" applyFont="1" applyFill="1" applyBorder="1" applyAlignment="1">
      <alignment horizontal="left" vertical="center" indent="1"/>
    </xf>
    <xf numFmtId="0" fontId="15" fillId="2" borderId="1" xfId="0" applyFont="1" applyFill="1" applyBorder="1" applyAlignment="1">
      <alignment horizontal="center" vertical="center"/>
    </xf>
    <xf numFmtId="0" fontId="19" fillId="5" borderId="1" xfId="0" applyFont="1" applyFill="1" applyBorder="1" applyAlignment="1">
      <alignment horizontal="center" vertical="center"/>
    </xf>
    <xf numFmtId="0" fontId="20" fillId="0" borderId="1" xfId="0" applyFont="1" applyBorder="1" applyAlignment="1">
      <alignment vertical="center" wrapText="1"/>
    </xf>
    <xf numFmtId="167" fontId="19" fillId="5" borderId="1" xfId="0" applyNumberFormat="1" applyFont="1" applyFill="1" applyBorder="1" applyAlignment="1">
      <alignment horizontal="center" vertical="center"/>
    </xf>
    <xf numFmtId="168" fontId="19" fillId="5" borderId="1" xfId="0" applyNumberFormat="1" applyFont="1" applyFill="1" applyBorder="1" applyAlignment="1">
      <alignment horizontal="center" vertical="center"/>
    </xf>
    <xf numFmtId="0" fontId="15" fillId="6" borderId="1" xfId="0" applyFont="1" applyFill="1" applyBorder="1" applyAlignment="1">
      <alignment horizontal="center" vertical="center" wrapText="1"/>
    </xf>
    <xf numFmtId="0" fontId="5" fillId="0" borderId="1" xfId="0" applyFont="1" applyBorder="1" applyAlignment="1">
      <alignment vertical="center"/>
    </xf>
    <xf numFmtId="0" fontId="5" fillId="7" borderId="1" xfId="0" applyFont="1" applyFill="1" applyBorder="1" applyAlignment="1">
      <alignment vertical="center"/>
    </xf>
    <xf numFmtId="164" fontId="5" fillId="0" borderId="1" xfId="0" applyNumberFormat="1" applyFont="1" applyBorder="1" applyAlignment="1">
      <alignment vertical="center"/>
    </xf>
    <xf numFmtId="169" fontId="5" fillId="0" borderId="1" xfId="0" applyNumberFormat="1" applyFont="1" applyBorder="1" applyAlignment="1">
      <alignment vertical="center"/>
    </xf>
    <xf numFmtId="164" fontId="5" fillId="7" borderId="1" xfId="0" applyNumberFormat="1" applyFont="1" applyFill="1" applyBorder="1" applyAlignment="1">
      <alignment vertical="center"/>
    </xf>
    <xf numFmtId="170" fontId="5" fillId="7" borderId="1" xfId="0" applyNumberFormat="1" applyFont="1" applyFill="1" applyBorder="1" applyAlignment="1">
      <alignment vertical="center"/>
    </xf>
    <xf numFmtId="0" fontId="16" fillId="0" borderId="0" xfId="0" applyFont="1"/>
    <xf numFmtId="170" fontId="16" fillId="3" borderId="1" xfId="0" applyNumberFormat="1" applyFont="1" applyFill="1" applyBorder="1"/>
    <xf numFmtId="0" fontId="21" fillId="0" borderId="0" xfId="0" applyFont="1"/>
    <xf numFmtId="170" fontId="5" fillId="0" borderId="1" xfId="0" applyNumberFormat="1" applyFont="1" applyBorder="1" applyAlignment="1">
      <alignment vertical="center"/>
    </xf>
    <xf numFmtId="0" fontId="5" fillId="0" borderId="0" xfId="0" applyFont="1" applyAlignment="1">
      <alignment horizontal="left"/>
    </xf>
    <xf numFmtId="170" fontId="24" fillId="0" borderId="0" xfId="0" applyNumberFormat="1" applyFont="1"/>
    <xf numFmtId="169" fontId="13" fillId="0" borderId="0" xfId="0" applyNumberFormat="1" applyFont="1"/>
    <xf numFmtId="170" fontId="5" fillId="0" borderId="0" xfId="0" applyNumberFormat="1" applyFont="1" applyAlignment="1">
      <alignment horizontal="left"/>
    </xf>
    <xf numFmtId="166" fontId="13" fillId="0" borderId="0" xfId="0" applyNumberFormat="1" applyFont="1"/>
    <xf numFmtId="0" fontId="13" fillId="3" borderId="1" xfId="0" applyFont="1" applyFill="1" applyBorder="1"/>
    <xf numFmtId="170" fontId="5" fillId="3" borderId="1" xfId="0" applyNumberFormat="1" applyFont="1" applyFill="1" applyBorder="1"/>
    <xf numFmtId="0" fontId="4" fillId="0" borderId="0" xfId="0" applyFont="1"/>
    <xf numFmtId="0" fontId="16" fillId="0" borderId="1" xfId="0" applyFont="1" applyBorder="1"/>
    <xf numFmtId="0" fontId="13" fillId="0" borderId="1" xfId="0" applyFont="1" applyBorder="1"/>
    <xf numFmtId="170" fontId="5" fillId="0" borderId="1" xfId="0" applyNumberFormat="1" applyFont="1" applyBorder="1"/>
    <xf numFmtId="170" fontId="16" fillId="0" borderId="1" xfId="0" applyNumberFormat="1" applyFont="1" applyBorder="1"/>
    <xf numFmtId="0" fontId="4" fillId="3" borderId="1" xfId="0" applyFont="1" applyFill="1" applyBorder="1"/>
    <xf numFmtId="170" fontId="4" fillId="3" borderId="1" xfId="0" applyNumberFormat="1" applyFont="1" applyFill="1" applyBorder="1"/>
    <xf numFmtId="0" fontId="15" fillId="2" borderId="1" xfId="0" applyFont="1" applyFill="1" applyBorder="1"/>
    <xf numFmtId="171" fontId="15" fillId="2" borderId="1" xfId="0" applyNumberFormat="1" applyFont="1" applyFill="1" applyBorder="1"/>
    <xf numFmtId="0" fontId="5" fillId="0" borderId="0" xfId="0" applyFont="1"/>
    <xf numFmtId="170" fontId="0" fillId="0" borderId="0" xfId="0" applyNumberFormat="1"/>
    <xf numFmtId="170" fontId="16" fillId="0" borderId="0" xfId="0" applyNumberFormat="1" applyFont="1"/>
    <xf numFmtId="0" fontId="25" fillId="0" borderId="0" xfId="0" applyFont="1"/>
    <xf numFmtId="0" fontId="16" fillId="0" borderId="0" xfId="0" applyFont="1"/>
  </cellXfs>
  <cellStyles count="1">
    <cellStyle name="Normal" xfId="0" builtinId="0"/>
  </cellStyles>
  <dxfs count="19">
    <dxf>
      <font>
        <i/>
        <color rgb="FF16362E"/>
        <name val="Arial"/>
        <charset val="1"/>
      </font>
    </dxf>
    <dxf>
      <font>
        <b/>
        <color rgb="FFC62828"/>
        <name val="Arial"/>
        <charset val="1"/>
      </font>
    </dxf>
    <dxf>
      <font>
        <b/>
        <sz val="16"/>
        <color rgb="FFC62828"/>
        <name val="Arial"/>
        <charset val="1"/>
      </font>
    </dxf>
    <dxf>
      <font>
        <b/>
        <color rgb="FFC62828"/>
        <name val="Arial"/>
        <charset val="1"/>
      </font>
    </dxf>
    <dxf>
      <font>
        <b/>
        <color rgb="FF16362E"/>
        <name val="Arial"/>
        <charset val="1"/>
      </font>
    </dxf>
    <dxf>
      <font>
        <b/>
        <color rgb="FFC62828"/>
        <name val="Arial"/>
        <charset val="1"/>
      </font>
    </dxf>
    <dxf>
      <font>
        <b/>
        <color rgb="FF16362E"/>
        <name val="Arial"/>
        <charset val="1"/>
      </font>
    </dxf>
    <dxf>
      <font>
        <b/>
        <color rgb="FFB45309"/>
        <name val="Arial"/>
        <charset val="1"/>
      </font>
    </dxf>
    <dxf>
      <font>
        <b/>
        <color rgb="FF0F7A55"/>
        <name val="Arial"/>
        <charset val="1"/>
      </font>
    </dxf>
    <dxf>
      <font>
        <b/>
        <color rgb="FFC62828"/>
        <name val="Arial"/>
        <charset val="1"/>
      </font>
    </dxf>
    <dxf>
      <fill>
        <patternFill>
          <bgColor rgb="FFF3F8F5"/>
        </patternFill>
      </fill>
    </dxf>
    <dxf>
      <fill>
        <patternFill>
          <bgColor rgb="FFFDECEA"/>
        </patternFill>
      </fill>
    </dxf>
    <dxf>
      <fill>
        <patternFill>
          <bgColor rgb="FFE2F0E7"/>
        </patternFill>
      </fill>
    </dxf>
    <dxf>
      <fill>
        <patternFill>
          <bgColor rgb="FFFBE9E7"/>
        </patternFill>
      </fill>
    </dxf>
    <dxf>
      <fill>
        <patternFill>
          <bgColor rgb="FFE1F5EE"/>
        </patternFill>
      </fill>
    </dxf>
    <dxf>
      <font>
        <b/>
        <color rgb="FFC62828"/>
        <name val="Arial"/>
        <charset val="1"/>
      </font>
    </dxf>
    <dxf>
      <font>
        <b/>
        <color rgb="FFC62828"/>
        <name val="Arial"/>
        <charset val="1"/>
      </font>
    </dxf>
    <dxf>
      <font>
        <b/>
        <color rgb="FFB45309"/>
        <name val="Arial"/>
        <charset val="1"/>
      </font>
    </dxf>
    <dxf>
      <font>
        <b/>
        <color rgb="FFC62828"/>
        <name val="Arial"/>
        <charset val="1"/>
      </font>
    </dxf>
  </dxfs>
  <tableStyles count="0" defaultTableStyle="TableStyleMedium2" defaultPivotStyle="PivotStyleLight16"/>
  <colors>
    <indexedColors>
      <rgbColor rgb="FF000000"/>
      <rgbColor rgb="FFFFFFFF"/>
      <rgbColor rgb="FFFF0000"/>
      <rgbColor rgb="FF00FF00"/>
      <rgbColor rgb="FF1A1A1A"/>
      <rgbColor rgb="FFFFFF00"/>
      <rgbColor rgb="FFFF00FF"/>
      <rgbColor rgb="FF00FFFF"/>
      <rgbColor rgb="FF800000"/>
      <rgbColor rgb="FF008000"/>
      <rgbColor rgb="FF000080"/>
      <rgbColor rgb="FF16362E"/>
      <rgbColor rgb="FF800080"/>
      <rgbColor rgb="FF0F7A55"/>
      <rgbColor rgb="FFF3F8F5"/>
      <rgbColor rgb="FF808080"/>
      <rgbColor rgb="FF9999FF"/>
      <rgbColor rgb="FFC62828"/>
      <rgbColor rgb="FFE2F0E7"/>
      <rgbColor rgb="FFE1F5EE"/>
      <rgbColor rgb="FF660066"/>
      <rgbColor rgb="FFFF8080"/>
      <rgbColor rgb="FF0066CC"/>
      <rgbColor rgb="FFCFE3D9"/>
      <rgbColor rgb="FF000080"/>
      <rgbColor rgb="FFFF00FF"/>
      <rgbColor rgb="FFFFFF00"/>
      <rgbColor rgb="FF00FFFF"/>
      <rgbColor rgb="FF800080"/>
      <rgbColor rgb="FF800000"/>
      <rgbColor rgb="FF2E6B5A"/>
      <rgbColor rgb="FF1A1A1A"/>
      <rgbColor rgb="FF00CCFF"/>
      <rgbColor rgb="FFE8F5E9"/>
      <rgbColor rgb="FFEEF7F2"/>
      <rgbColor rgb="FFC8E6D3"/>
      <rgbColor rgb="FFFBE9E7"/>
      <rgbColor rgb="FFFF99CC"/>
      <rgbColor rgb="FFCC99FF"/>
      <rgbColor rgb="FFFDECEA"/>
      <rgbColor rgb="FF3366FF"/>
      <rgbColor rgb="FF33CCCC"/>
      <rgbColor rgb="FF99CC00"/>
      <rgbColor rgb="FFFFCC00"/>
      <rgbColor rgb="FFFF9900"/>
      <rgbColor rgb="FFFF6600"/>
      <rgbColor rgb="FF666699"/>
      <rgbColor rgb="FF969696"/>
      <rgbColor rgb="FF003366"/>
      <rgbColor rgb="FF0F7A55"/>
      <rgbColor rgb="FF16362E"/>
      <rgbColor rgb="FF333300"/>
      <rgbColor rgb="FFB45309"/>
      <rgbColor rgb="FF993366"/>
      <rgbColor rgb="FF16362E"/>
      <rgbColor rgb="FF20212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1035360</xdr:colOff>
      <xdr:row>0</xdr:row>
      <xdr:rowOff>666360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0" y="0"/>
          <a:ext cx="3142800" cy="6663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0</xdr:colOff>
      <xdr:row>0</xdr:row>
      <xdr:rowOff>0</xdr:rowOff>
    </xdr:from>
    <xdr:to>
      <xdr:col>10</xdr:col>
      <xdr:colOff>347040</xdr:colOff>
      <xdr:row>1</xdr:row>
      <xdr:rowOff>104400</xdr:rowOff>
    </xdr:to>
    <xdr:pic>
      <xdr:nvPicPr>
        <xdr:cNvPr id="2" name="Image 1" descr="Picture">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8916840" y="0"/>
          <a:ext cx="2285640" cy="4852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0</xdr:colOff>
      <xdr:row>4</xdr:row>
      <xdr:rowOff>0</xdr:rowOff>
    </xdr:from>
    <xdr:to>
      <xdr:col>7</xdr:col>
      <xdr:colOff>1999800</xdr:colOff>
      <xdr:row>5</xdr:row>
      <xdr:rowOff>171000</xdr:rowOff>
    </xdr:to>
    <xdr:pic>
      <xdr:nvPicPr>
        <xdr:cNvPr id="2" name="Image 1" descr="Picture">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a:stretch/>
      </xdr:blipFill>
      <xdr:spPr>
        <a:xfrm>
          <a:off x="6647040" y="1123920"/>
          <a:ext cx="1999800" cy="41868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F7A55"/>
  </sheetPr>
  <dimension ref="A1:B34"/>
  <sheetViews>
    <sheetView tabSelected="1" showGridLines="0" zoomScaleNormal="100" workbookViewId="0"/>
  </sheetViews>
  <sheetFormatPr baseColWidth="10" defaultColWidth="8.6640625" defaultRowHeight="15" x14ac:dyDescent="0.2"/>
  <cols>
    <col min="1" max="1" width="29.83203125" customWidth="1"/>
    <col min="2" max="2" width="92" customWidth="1"/>
  </cols>
  <sheetData>
    <row r="1" spans="1:2" ht="66" customHeight="1" x14ac:dyDescent="0.2"/>
    <row r="2" spans="1:2" ht="17" x14ac:dyDescent="0.2">
      <c r="A2" s="15" t="s">
        <v>0</v>
      </c>
    </row>
    <row r="3" spans="1:2" ht="16" x14ac:dyDescent="0.2">
      <c r="A3" s="16" t="s">
        <v>1</v>
      </c>
    </row>
    <row r="5" spans="1:2" ht="27.75" customHeight="1" x14ac:dyDescent="0.2">
      <c r="A5" s="14" t="s">
        <v>2</v>
      </c>
      <c r="B5" s="14"/>
    </row>
    <row r="6" spans="1:2" ht="43.5" customHeight="1" x14ac:dyDescent="0.2">
      <c r="A6" s="17" t="s">
        <v>3</v>
      </c>
      <c r="B6" s="18" t="s">
        <v>4</v>
      </c>
    </row>
    <row r="7" spans="1:2" ht="43.5" customHeight="1" x14ac:dyDescent="0.2">
      <c r="A7" s="17" t="s">
        <v>5</v>
      </c>
      <c r="B7" s="18" t="s">
        <v>6</v>
      </c>
    </row>
    <row r="8" spans="1:2" ht="43.5" customHeight="1" x14ac:dyDescent="0.2">
      <c r="A8" s="17" t="s">
        <v>7</v>
      </c>
      <c r="B8" s="18" t="s">
        <v>8</v>
      </c>
    </row>
    <row r="9" spans="1:2" ht="43.5" customHeight="1" x14ac:dyDescent="0.2">
      <c r="A9" s="17" t="s">
        <v>9</v>
      </c>
      <c r="B9" s="18" t="s">
        <v>10</v>
      </c>
    </row>
    <row r="10" spans="1:2" ht="43.5" customHeight="1" x14ac:dyDescent="0.2">
      <c r="A10" s="17" t="s">
        <v>11</v>
      </c>
      <c r="B10" s="18" t="s">
        <v>12</v>
      </c>
    </row>
    <row r="11" spans="1:2" ht="15.75" customHeight="1" x14ac:dyDescent="0.2"/>
    <row r="12" spans="1:2" ht="27.75" customHeight="1" x14ac:dyDescent="0.2">
      <c r="A12" s="14" t="s">
        <v>13</v>
      </c>
      <c r="B12" s="14"/>
    </row>
    <row r="13" spans="1:2" ht="43.5" customHeight="1" x14ac:dyDescent="0.2">
      <c r="A13" s="17" t="s">
        <v>14</v>
      </c>
      <c r="B13" s="18" t="s">
        <v>15</v>
      </c>
    </row>
    <row r="14" spans="1:2" ht="27" customHeight="1" x14ac:dyDescent="0.2">
      <c r="A14" s="17" t="s">
        <v>16</v>
      </c>
      <c r="B14" s="18" t="s">
        <v>17</v>
      </c>
    </row>
    <row r="15" spans="1:2" ht="27" customHeight="1" x14ac:dyDescent="0.2">
      <c r="A15" s="17" t="s">
        <v>18</v>
      </c>
      <c r="B15" s="18" t="s">
        <v>19</v>
      </c>
    </row>
    <row r="16" spans="1:2" ht="43.5" customHeight="1" x14ac:dyDescent="0.2">
      <c r="A16" s="17" t="s">
        <v>20</v>
      </c>
      <c r="B16" s="18" t="s">
        <v>21</v>
      </c>
    </row>
    <row r="17" spans="1:2" ht="43.5" customHeight="1" x14ac:dyDescent="0.2">
      <c r="A17" s="17" t="s">
        <v>22</v>
      </c>
      <c r="B17" s="18" t="s">
        <v>23</v>
      </c>
    </row>
    <row r="18" spans="1:2" ht="27" customHeight="1" x14ac:dyDescent="0.2">
      <c r="A18" s="17" t="s">
        <v>24</v>
      </c>
      <c r="B18" s="18" t="s">
        <v>25</v>
      </c>
    </row>
    <row r="19" spans="1:2" ht="27" customHeight="1" x14ac:dyDescent="0.2">
      <c r="A19" s="17" t="s">
        <v>26</v>
      </c>
      <c r="B19" s="18" t="s">
        <v>27</v>
      </c>
    </row>
    <row r="20" spans="1:2" ht="43.5" customHeight="1" x14ac:dyDescent="0.2">
      <c r="A20" s="17" t="s">
        <v>28</v>
      </c>
      <c r="B20" s="18" t="s">
        <v>29</v>
      </c>
    </row>
    <row r="21" spans="1:2" ht="15.75" customHeight="1" x14ac:dyDescent="0.2"/>
    <row r="22" spans="1:2" ht="27.75" customHeight="1" x14ac:dyDescent="0.2">
      <c r="A22" s="14" t="s">
        <v>30</v>
      </c>
      <c r="B22" s="14"/>
    </row>
    <row r="23" spans="1:2" ht="27" customHeight="1" x14ac:dyDescent="0.2">
      <c r="A23" s="19" t="s">
        <v>31</v>
      </c>
      <c r="B23" s="18" t="s">
        <v>32</v>
      </c>
    </row>
    <row r="24" spans="1:2" ht="27" customHeight="1" x14ac:dyDescent="0.2">
      <c r="A24" s="17" t="s">
        <v>33</v>
      </c>
      <c r="B24" s="18" t="s">
        <v>34</v>
      </c>
    </row>
    <row r="25" spans="1:2" ht="27" customHeight="1" x14ac:dyDescent="0.2">
      <c r="A25" s="20" t="s">
        <v>35</v>
      </c>
      <c r="B25" s="18" t="s">
        <v>36</v>
      </c>
    </row>
    <row r="26" spans="1:2" ht="15.75" customHeight="1" x14ac:dyDescent="0.2"/>
    <row r="27" spans="1:2" ht="27.75" customHeight="1" x14ac:dyDescent="0.2">
      <c r="A27" s="14" t="s">
        <v>37</v>
      </c>
      <c r="B27" s="14"/>
    </row>
    <row r="28" spans="1:2" ht="78" customHeight="1" x14ac:dyDescent="0.2">
      <c r="A28" s="17" t="s">
        <v>38</v>
      </c>
      <c r="B28" s="18" t="s">
        <v>39</v>
      </c>
    </row>
    <row r="29" spans="1:2" ht="60.75" customHeight="1" x14ac:dyDescent="0.2">
      <c r="A29" s="17" t="s">
        <v>40</v>
      </c>
      <c r="B29" s="18" t="s">
        <v>41</v>
      </c>
    </row>
    <row r="30" spans="1:2" ht="15.75" customHeight="1" x14ac:dyDescent="0.2"/>
    <row r="31" spans="1:2" ht="27.75" customHeight="1" x14ac:dyDescent="0.2">
      <c r="A31" s="14" t="s">
        <v>42</v>
      </c>
      <c r="B31" s="14"/>
    </row>
    <row r="32" spans="1:2" ht="78" customHeight="1" x14ac:dyDescent="0.2">
      <c r="A32" s="17" t="s">
        <v>43</v>
      </c>
      <c r="B32" s="18" t="s">
        <v>44</v>
      </c>
    </row>
    <row r="33" spans="1:2" ht="43.5" customHeight="1" x14ac:dyDescent="0.2">
      <c r="A33" s="17" t="s">
        <v>45</v>
      </c>
      <c r="B33" s="18" t="s">
        <v>46</v>
      </c>
    </row>
    <row r="34" spans="1:2" ht="43.5" customHeight="1" x14ac:dyDescent="0.2">
      <c r="A34" s="17" t="s">
        <v>47</v>
      </c>
      <c r="B34" s="18" t="s">
        <v>48</v>
      </c>
    </row>
  </sheetData>
  <mergeCells count="5">
    <mergeCell ref="A5:B5"/>
    <mergeCell ref="A12:B12"/>
    <mergeCell ref="A22:B22"/>
    <mergeCell ref="A27:B27"/>
    <mergeCell ref="A31:B31"/>
  </mergeCell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16362E"/>
  </sheetPr>
  <dimension ref="A1:L46"/>
  <sheetViews>
    <sheetView showGridLines="0" topLeftCell="A29" zoomScaleNormal="100" workbookViewId="0"/>
  </sheetViews>
  <sheetFormatPr baseColWidth="10" defaultColWidth="8.6640625" defaultRowHeight="15" x14ac:dyDescent="0.2"/>
  <cols>
    <col min="1" max="1" width="30" customWidth="1"/>
    <col min="2" max="2" width="16.1640625" customWidth="1"/>
    <col min="3" max="4" width="13.83203125" customWidth="1"/>
    <col min="5" max="5" width="4.6640625" customWidth="1"/>
    <col min="6" max="6" width="25.33203125" customWidth="1"/>
    <col min="7" max="7" width="8" customWidth="1"/>
    <col min="8" max="8" width="14.83203125" customWidth="1"/>
    <col min="9" max="9" width="12.6640625" customWidth="1"/>
    <col min="10" max="10" width="14.83203125" customWidth="1"/>
    <col min="11" max="11" width="13.83203125" customWidth="1"/>
    <col min="12" max="12" width="14.83203125" customWidth="1"/>
  </cols>
  <sheetData>
    <row r="1" spans="1:12" ht="30" customHeight="1" x14ac:dyDescent="0.25">
      <c r="A1" s="21" t="s">
        <v>14</v>
      </c>
    </row>
    <row r="2" spans="1:12" ht="16" x14ac:dyDescent="0.2">
      <c r="A2" s="22" t="s">
        <v>49</v>
      </c>
    </row>
    <row r="3" spans="1:12" x14ac:dyDescent="0.2">
      <c r="A3" s="23" t="s">
        <v>1</v>
      </c>
    </row>
    <row r="4" spans="1:12" ht="17" x14ac:dyDescent="0.2">
      <c r="A4" s="24" t="str">
        <f>"Tax year "&amp;Settings!$C$5&amp;" | "&amp;COUNTA(Properties!$A$6:$A$15)&amp;" properties | "&amp;Properties!$F$16&amp;" units"</f>
        <v>Tax year 2026 | 0 properties | 0 units</v>
      </c>
    </row>
    <row r="6" spans="1:12" ht="33.75" customHeight="1" x14ac:dyDescent="0.2">
      <c r="A6" s="13" t="s">
        <v>50</v>
      </c>
      <c r="B6" s="13"/>
      <c r="C6" s="12" t="s">
        <v>51</v>
      </c>
      <c r="D6" s="12"/>
      <c r="E6" s="11" t="s">
        <v>52</v>
      </c>
      <c r="F6" s="11"/>
      <c r="G6" s="10" t="s">
        <v>53</v>
      </c>
      <c r="H6" s="10"/>
      <c r="I6" s="12" t="s">
        <v>54</v>
      </c>
      <c r="J6" s="12"/>
      <c r="K6" s="10" t="s">
        <v>55</v>
      </c>
      <c r="L6" s="10"/>
    </row>
    <row r="7" spans="1:12" ht="37.5" customHeight="1" x14ac:dyDescent="0.2">
      <c r="A7" s="9">
        <f>SUMIFS('Rent Log'!$G$7:$G$506,'Rent Log'!$N$7:$N$506,Settings!$C$5)</f>
        <v>0</v>
      </c>
      <c r="B7" s="9"/>
      <c r="C7" s="8">
        <f>SUMIFS(Tenants!$M$6:$M$35,Tenants!$M$6:$M$35,"&gt;0")</f>
        <v>0</v>
      </c>
      <c r="D7" s="8"/>
      <c r="E7" s="7">
        <f>SUMIFS(Expenses!$E$7:$E$506,Expenses!$I$7:$I$506,Settings!$C$5)-SUMIFS(Expenses!$E$7:$E$506,Expenses!$C$7:$C$506,"Mortgage Principal (not deductible)",Expenses!$I$7:$I$506,Settings!$C$5)-SUMIFS(Expenses!$E$7:$E$506,Expenses!$C$7:$C$506,"Capital Improvement (not deductible)",Expenses!$I$7:$I$506,Settings!$C$5)</f>
        <v>0</v>
      </c>
      <c r="F7" s="7"/>
      <c r="G7" s="6">
        <f>A7-E7</f>
        <v>0</v>
      </c>
      <c r="H7" s="6"/>
      <c r="I7" s="5">
        <f ca="1">COUNTIFS('Rent Log'!$K$7:$K$506,"Paid late",'Rent Log'!$R$7:$R$506,Settings!$C$5)+COUNTIFS('Rent Log'!$K$7:$K$506,"Partial",'Rent Log'!$R$7:$R$506,Settings!$C$5)+COUNTIFS('Rent Log'!$K$7:$K$506,"Unpaid",'Rent Log'!$R$7:$R$506,Settings!$C$5)</f>
        <v>0</v>
      </c>
      <c r="J7" s="5"/>
      <c r="K7" s="6">
        <f>'Schedule E'!M25</f>
        <v>0</v>
      </c>
      <c r="L7" s="6"/>
    </row>
    <row r="8" spans="1:12" x14ac:dyDescent="0.2">
      <c r="A8" s="25" t="s">
        <v>56</v>
      </c>
    </row>
    <row r="10" spans="1:12" ht="18" x14ac:dyDescent="0.2">
      <c r="A10" s="26" t="s">
        <v>57</v>
      </c>
      <c r="F10" s="26" t="s">
        <v>58</v>
      </c>
    </row>
    <row r="11" spans="1:12" ht="36" customHeight="1" x14ac:dyDescent="0.2">
      <c r="A11" s="27" t="s">
        <v>59</v>
      </c>
      <c r="B11" s="27" t="s">
        <v>50</v>
      </c>
      <c r="C11" s="27" t="s">
        <v>24</v>
      </c>
      <c r="D11" s="27" t="s">
        <v>60</v>
      </c>
      <c r="F11" s="27" t="s">
        <v>61</v>
      </c>
      <c r="G11" s="27" t="s">
        <v>62</v>
      </c>
      <c r="H11" s="27" t="s">
        <v>50</v>
      </c>
      <c r="I11" s="27" t="s">
        <v>63</v>
      </c>
      <c r="J11" s="27" t="s">
        <v>52</v>
      </c>
      <c r="K11" s="27" t="s">
        <v>64</v>
      </c>
      <c r="L11" s="27" t="s">
        <v>65</v>
      </c>
    </row>
    <row r="12" spans="1:12" ht="16" x14ac:dyDescent="0.2">
      <c r="A12" s="28">
        <f>DATE(Settings!$C$5,1,1)</f>
        <v>46023</v>
      </c>
      <c r="B12" s="29">
        <f>SUMIFS('Rent Log'!$G$7:$G$506,'Rent Log'!$Q$7:$Q$506,Settings!$C$5*100+1)</f>
        <v>0</v>
      </c>
      <c r="C12" s="29">
        <f>SUMIFS(Expenses!$E$7:$E$506,Expenses!$J$7:$J$506,Settings!$C$5*100+1)-SUMIFS(Expenses!$E$7:$E$506,Expenses!$J$7:$J$506,Settings!$C$5*100+1,Expenses!$C$7:$C$506,"Mortgage Principal (not deductible)")-SUMIFS(Expenses!$E$7:$E$506,Expenses!$J$7:$J$506,Settings!$C$5*100+1,Expenses!$C$7:$C$506,"Capital Improvement (not deductible)")</f>
        <v>0</v>
      </c>
      <c r="D12" s="29">
        <f t="shared" ref="D12:D23" si="0">B12-C12</f>
        <v>0</v>
      </c>
      <c r="F12" s="30" t="str">
        <f>IF(Properties!$A$6="","",Properties!$A$6)</f>
        <v/>
      </c>
      <c r="G12" s="30" t="str">
        <f>IF(F12="","",Properties!$F$6)</f>
        <v/>
      </c>
      <c r="H12" s="29" t="str">
        <f>IF(F12="","",'Schedule E'!C7)</f>
        <v/>
      </c>
      <c r="I12" s="29" t="str">
        <f>IF(F12="","",SUMIFS(Tenants!$M$6:$M$35,Tenants!$B$6:$B$35,F12,Tenants!$M$6:$M$35,"&gt;0"))</f>
        <v/>
      </c>
      <c r="J12" s="29" t="str">
        <f>IF(F12="","",SUMIFS(Expenses!$E$7:$E$506,Expenses!$B$7:$B$506,F12,Expenses!$I$7:$I$506,Settings!$C$5)-SUMIFS(Expenses!$E$7:$E$506,Expenses!$B$7:$B$506,F12,Expenses!$I$7:$I$506,Settings!$C$5,Expenses!$C$7:$C$506,"Mortgage Principal (not deductible)")-SUMIFS(Expenses!$E$7:$E$506,Expenses!$B$7:$B$506,F12,Expenses!$I$7:$I$506,Settings!$C$5,Expenses!$C$7:$C$506,"Capital Improvement (not deductible)")+'Schedule E'!C$6*(SUMIFS(Expenses!$E$7:$E$506,Expenses!$B$7:$B$506,"All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2" s="29" t="str">
        <f t="shared" ref="K12:K21" si="1">IF(F12="","",H12-J12)</f>
        <v/>
      </c>
      <c r="L12" s="29" t="str">
        <f>IF(F12="","",'Schedule E'!C25)</f>
        <v/>
      </c>
    </row>
    <row r="13" spans="1:12" ht="16" x14ac:dyDescent="0.2">
      <c r="A13" s="28">
        <f>DATE(Settings!$C$5,2,1)</f>
        <v>46054</v>
      </c>
      <c r="B13" s="29">
        <f>SUMIFS('Rent Log'!$G$7:$G$506,'Rent Log'!$Q$7:$Q$506,Settings!$C$5*100+2)</f>
        <v>0</v>
      </c>
      <c r="C13" s="29">
        <f>SUMIFS(Expenses!$E$7:$E$506,Expenses!$J$7:$J$506,Settings!$C$5*100+2)-SUMIFS(Expenses!$E$7:$E$506,Expenses!$J$7:$J$506,Settings!$C$5*100+2,Expenses!$C$7:$C$506,"Mortgage Principal (not deductible)")-SUMIFS(Expenses!$E$7:$E$506,Expenses!$J$7:$J$506,Settings!$C$5*100+2,Expenses!$C$7:$C$506,"Capital Improvement (not deductible)")</f>
        <v>0</v>
      </c>
      <c r="D13" s="29">
        <f t="shared" si="0"/>
        <v>0</v>
      </c>
      <c r="F13" s="30" t="str">
        <f>IF(Properties!$A$7="","",Properties!$A$7)</f>
        <v/>
      </c>
      <c r="G13" s="30" t="str">
        <f>IF(F13="","",Properties!$F$7)</f>
        <v/>
      </c>
      <c r="H13" s="29" t="str">
        <f>IF(F13="","",'Schedule E'!D7)</f>
        <v/>
      </c>
      <c r="I13" s="29" t="str">
        <f>IF(F13="","",SUMIFS(Tenants!$M$6:$M$35,Tenants!$B$6:$B$35,F13,Tenants!$M$6:$M$35,"&gt;0"))</f>
        <v/>
      </c>
      <c r="J13" s="29" t="str">
        <f>IF(F13="","",SUMIFS(Expenses!$E$7:$E$506,Expenses!$B$7:$B$506,F13,Expenses!$I$7:$I$506,Settings!$C$5)-SUMIFS(Expenses!$E$7:$E$506,Expenses!$B$7:$B$506,F13,Expenses!$I$7:$I$506,Settings!$C$5,Expenses!$C$7:$C$506,"Mortgage Principal (not deductible)")-SUMIFS(Expenses!$E$7:$E$506,Expenses!$B$7:$B$506,F13,Expenses!$I$7:$I$506,Settings!$C$5,Expenses!$C$7:$C$506,"Capital Improvement (not deductible)")+'Schedule E'!D$6*(SUMIFS(Expenses!$E$7:$E$506,Expenses!$B$7:$B$506,"All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3" s="29" t="str">
        <f t="shared" si="1"/>
        <v/>
      </c>
      <c r="L13" s="29" t="str">
        <f>IF(F13="","",'Schedule E'!D25)</f>
        <v/>
      </c>
    </row>
    <row r="14" spans="1:12" ht="16" x14ac:dyDescent="0.2">
      <c r="A14" s="28">
        <f>DATE(Settings!$C$5,3,1)</f>
        <v>46082</v>
      </c>
      <c r="B14" s="29">
        <f>SUMIFS('Rent Log'!$G$7:$G$506,'Rent Log'!$Q$7:$Q$506,Settings!$C$5*100+3)</f>
        <v>0</v>
      </c>
      <c r="C14" s="29">
        <f>SUMIFS(Expenses!$E$7:$E$506,Expenses!$J$7:$J$506,Settings!$C$5*100+3)-SUMIFS(Expenses!$E$7:$E$506,Expenses!$J$7:$J$506,Settings!$C$5*100+3,Expenses!$C$7:$C$506,"Mortgage Principal (not deductible)")-SUMIFS(Expenses!$E$7:$E$506,Expenses!$J$7:$J$506,Settings!$C$5*100+3,Expenses!$C$7:$C$506,"Capital Improvement (not deductible)")</f>
        <v>0</v>
      </c>
      <c r="D14" s="29">
        <f t="shared" si="0"/>
        <v>0</v>
      </c>
      <c r="F14" s="30" t="str">
        <f>IF(Properties!$A$8="","",Properties!$A$8)</f>
        <v/>
      </c>
      <c r="G14" s="30" t="str">
        <f>IF(F14="","",Properties!$F$8)</f>
        <v/>
      </c>
      <c r="H14" s="29" t="str">
        <f>IF(F14="","",'Schedule E'!E7)</f>
        <v/>
      </c>
      <c r="I14" s="29" t="str">
        <f>IF(F14="","",SUMIFS(Tenants!$M$6:$M$35,Tenants!$B$6:$B$35,F14,Tenants!$M$6:$M$35,"&gt;0"))</f>
        <v/>
      </c>
      <c r="J14" s="29" t="str">
        <f>IF(F14="","",SUMIFS(Expenses!$E$7:$E$506,Expenses!$B$7:$B$506,F14,Expenses!$I$7:$I$506,Settings!$C$5)-SUMIFS(Expenses!$E$7:$E$506,Expenses!$B$7:$B$506,F14,Expenses!$I$7:$I$506,Settings!$C$5,Expenses!$C$7:$C$506,"Mortgage Principal (not deductible)")-SUMIFS(Expenses!$E$7:$E$506,Expenses!$B$7:$B$506,F14,Expenses!$I$7:$I$506,Settings!$C$5,Expenses!$C$7:$C$506,"Capital Improvement (not deductible)")+'Schedule E'!E$6*(SUMIFS(Expenses!$E$7:$E$506,Expenses!$B$7:$B$506,"All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4" s="29" t="str">
        <f t="shared" si="1"/>
        <v/>
      </c>
      <c r="L14" s="29" t="str">
        <f>IF(F14="","",'Schedule E'!E25)</f>
        <v/>
      </c>
    </row>
    <row r="15" spans="1:12" ht="16" x14ac:dyDescent="0.2">
      <c r="A15" s="28">
        <f>DATE(Settings!$C$5,4,1)</f>
        <v>46113</v>
      </c>
      <c r="B15" s="29">
        <f>SUMIFS('Rent Log'!$G$7:$G$506,'Rent Log'!$Q$7:$Q$506,Settings!$C$5*100+4)</f>
        <v>0</v>
      </c>
      <c r="C15" s="29">
        <f>SUMIFS(Expenses!$E$7:$E$506,Expenses!$J$7:$J$506,Settings!$C$5*100+4)-SUMIFS(Expenses!$E$7:$E$506,Expenses!$J$7:$J$506,Settings!$C$5*100+4,Expenses!$C$7:$C$506,"Mortgage Principal (not deductible)")-SUMIFS(Expenses!$E$7:$E$506,Expenses!$J$7:$J$506,Settings!$C$5*100+4,Expenses!$C$7:$C$506,"Capital Improvement (not deductible)")</f>
        <v>0</v>
      </c>
      <c r="D15" s="29">
        <f t="shared" si="0"/>
        <v>0</v>
      </c>
      <c r="F15" s="30" t="str">
        <f>IF(Properties!$A$9="","",Properties!$A$9)</f>
        <v/>
      </c>
      <c r="G15" s="30" t="str">
        <f>IF(F15="","",Properties!$F$9)</f>
        <v/>
      </c>
      <c r="H15" s="29" t="str">
        <f>IF(F15="","",'Schedule E'!F7)</f>
        <v/>
      </c>
      <c r="I15" s="29" t="str">
        <f>IF(F15="","",SUMIFS(Tenants!$M$6:$M$35,Tenants!$B$6:$B$35,F15,Tenants!$M$6:$M$35,"&gt;0"))</f>
        <v/>
      </c>
      <c r="J15" s="29" t="str">
        <f>IF(F15="","",SUMIFS(Expenses!$E$7:$E$506,Expenses!$B$7:$B$506,F15,Expenses!$I$7:$I$506,Settings!$C$5)-SUMIFS(Expenses!$E$7:$E$506,Expenses!$B$7:$B$506,F15,Expenses!$I$7:$I$506,Settings!$C$5,Expenses!$C$7:$C$506,"Mortgage Principal (not deductible)")-SUMIFS(Expenses!$E$7:$E$506,Expenses!$B$7:$B$506,F15,Expenses!$I$7:$I$506,Settings!$C$5,Expenses!$C$7:$C$506,"Capital Improvement (not deductible)")+'Schedule E'!F$6*(SUMIFS(Expenses!$E$7:$E$506,Expenses!$B$7:$B$506,"All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5" s="29" t="str">
        <f t="shared" si="1"/>
        <v/>
      </c>
      <c r="L15" s="29" t="str">
        <f>IF(F15="","",'Schedule E'!F25)</f>
        <v/>
      </c>
    </row>
    <row r="16" spans="1:12" ht="16" x14ac:dyDescent="0.2">
      <c r="A16" s="28">
        <f>DATE(Settings!$C$5,5,1)</f>
        <v>46143</v>
      </c>
      <c r="B16" s="29">
        <f>SUMIFS('Rent Log'!$G$7:$G$506,'Rent Log'!$Q$7:$Q$506,Settings!$C$5*100+5)</f>
        <v>0</v>
      </c>
      <c r="C16" s="29">
        <f>SUMIFS(Expenses!$E$7:$E$506,Expenses!$J$7:$J$506,Settings!$C$5*100+5)-SUMIFS(Expenses!$E$7:$E$506,Expenses!$J$7:$J$506,Settings!$C$5*100+5,Expenses!$C$7:$C$506,"Mortgage Principal (not deductible)")-SUMIFS(Expenses!$E$7:$E$506,Expenses!$J$7:$J$506,Settings!$C$5*100+5,Expenses!$C$7:$C$506,"Capital Improvement (not deductible)")</f>
        <v>0</v>
      </c>
      <c r="D16" s="29">
        <f t="shared" si="0"/>
        <v>0</v>
      </c>
      <c r="F16" s="30" t="str">
        <f>IF(Properties!$A$10="","",Properties!$A$10)</f>
        <v/>
      </c>
      <c r="G16" s="30" t="str">
        <f>IF(F16="","",Properties!$F$10)</f>
        <v/>
      </c>
      <c r="H16" s="29" t="str">
        <f>IF(F16="","",'Schedule E'!G7)</f>
        <v/>
      </c>
      <c r="I16" s="29" t="str">
        <f>IF(F16="","",SUMIFS(Tenants!$M$6:$M$35,Tenants!$B$6:$B$35,F16,Tenants!$M$6:$M$35,"&gt;0"))</f>
        <v/>
      </c>
      <c r="J16" s="29" t="str">
        <f>IF(F16="","",SUMIFS(Expenses!$E$7:$E$506,Expenses!$B$7:$B$506,F16,Expenses!$I$7:$I$506,Settings!$C$5)-SUMIFS(Expenses!$E$7:$E$506,Expenses!$B$7:$B$506,F16,Expenses!$I$7:$I$506,Settings!$C$5,Expenses!$C$7:$C$506,"Mortgage Principal (not deductible)")-SUMIFS(Expenses!$E$7:$E$506,Expenses!$B$7:$B$506,F16,Expenses!$I$7:$I$506,Settings!$C$5,Expenses!$C$7:$C$506,"Capital Improvement (not deductible)")+'Schedule E'!G$6*(SUMIFS(Expenses!$E$7:$E$506,Expenses!$B$7:$B$506,"All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6" s="29" t="str">
        <f t="shared" si="1"/>
        <v/>
      </c>
      <c r="L16" s="29" t="str">
        <f>IF(F16="","",'Schedule E'!G25)</f>
        <v/>
      </c>
    </row>
    <row r="17" spans="1:12" ht="16" x14ac:dyDescent="0.2">
      <c r="A17" s="28">
        <f>DATE(Settings!$C$5,6,1)</f>
        <v>46174</v>
      </c>
      <c r="B17" s="29">
        <f>SUMIFS('Rent Log'!$G$7:$G$506,'Rent Log'!$Q$7:$Q$506,Settings!$C$5*100+6)</f>
        <v>0</v>
      </c>
      <c r="C17" s="29">
        <f>SUMIFS(Expenses!$E$7:$E$506,Expenses!$J$7:$J$506,Settings!$C$5*100+6)-SUMIFS(Expenses!$E$7:$E$506,Expenses!$J$7:$J$506,Settings!$C$5*100+6,Expenses!$C$7:$C$506,"Mortgage Principal (not deductible)")-SUMIFS(Expenses!$E$7:$E$506,Expenses!$J$7:$J$506,Settings!$C$5*100+6,Expenses!$C$7:$C$506,"Capital Improvement (not deductible)")</f>
        <v>0</v>
      </c>
      <c r="D17" s="29">
        <f t="shared" si="0"/>
        <v>0</v>
      </c>
      <c r="F17" s="30" t="str">
        <f>IF(Properties!$A$11="","",Properties!$A$11)</f>
        <v/>
      </c>
      <c r="G17" s="30" t="str">
        <f>IF(F17="","",Properties!$F$11)</f>
        <v/>
      </c>
      <c r="H17" s="29" t="str">
        <f>IF(F17="","",'Schedule E'!H7)</f>
        <v/>
      </c>
      <c r="I17" s="29" t="str">
        <f>IF(F17="","",SUMIFS(Tenants!$M$6:$M$35,Tenants!$B$6:$B$35,F17,Tenants!$M$6:$M$35,"&gt;0"))</f>
        <v/>
      </c>
      <c r="J17" s="29" t="str">
        <f>IF(F17="","",SUMIFS(Expenses!$E$7:$E$506,Expenses!$B$7:$B$506,F17,Expenses!$I$7:$I$506,Settings!$C$5)-SUMIFS(Expenses!$E$7:$E$506,Expenses!$B$7:$B$506,F17,Expenses!$I$7:$I$506,Settings!$C$5,Expenses!$C$7:$C$506,"Mortgage Principal (not deductible)")-SUMIFS(Expenses!$E$7:$E$506,Expenses!$B$7:$B$506,F17,Expenses!$I$7:$I$506,Settings!$C$5,Expenses!$C$7:$C$506,"Capital Improvement (not deductible)")+'Schedule E'!H$6*(SUMIFS(Expenses!$E$7:$E$506,Expenses!$B$7:$B$506,"All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7" s="29" t="str">
        <f t="shared" si="1"/>
        <v/>
      </c>
      <c r="L17" s="29" t="str">
        <f>IF(F17="","",'Schedule E'!H25)</f>
        <v/>
      </c>
    </row>
    <row r="18" spans="1:12" ht="16" x14ac:dyDescent="0.2">
      <c r="A18" s="28">
        <f>DATE(Settings!$C$5,7,1)</f>
        <v>46204</v>
      </c>
      <c r="B18" s="29">
        <f>SUMIFS('Rent Log'!$G$7:$G$506,'Rent Log'!$Q$7:$Q$506,Settings!$C$5*100+7)</f>
        <v>0</v>
      </c>
      <c r="C18" s="29">
        <f>SUMIFS(Expenses!$E$7:$E$506,Expenses!$J$7:$J$506,Settings!$C$5*100+7)-SUMIFS(Expenses!$E$7:$E$506,Expenses!$J$7:$J$506,Settings!$C$5*100+7,Expenses!$C$7:$C$506,"Mortgage Principal (not deductible)")-SUMIFS(Expenses!$E$7:$E$506,Expenses!$J$7:$J$506,Settings!$C$5*100+7,Expenses!$C$7:$C$506,"Capital Improvement (not deductible)")</f>
        <v>0</v>
      </c>
      <c r="D18" s="29">
        <f t="shared" si="0"/>
        <v>0</v>
      </c>
      <c r="F18" s="30" t="str">
        <f>IF(Properties!$A$12="","",Properties!$A$12)</f>
        <v/>
      </c>
      <c r="G18" s="30" t="str">
        <f>IF(F18="","",Properties!$F$12)</f>
        <v/>
      </c>
      <c r="H18" s="29" t="str">
        <f>IF(F18="","",'Schedule E'!I7)</f>
        <v/>
      </c>
      <c r="I18" s="29" t="str">
        <f>IF(F18="","",SUMIFS(Tenants!$M$6:$M$35,Tenants!$B$6:$B$35,F18,Tenants!$M$6:$M$35,"&gt;0"))</f>
        <v/>
      </c>
      <c r="J18" s="29" t="str">
        <f>IF(F18="","",SUMIFS(Expenses!$E$7:$E$506,Expenses!$B$7:$B$506,F18,Expenses!$I$7:$I$506,Settings!$C$5)-SUMIFS(Expenses!$E$7:$E$506,Expenses!$B$7:$B$506,F18,Expenses!$I$7:$I$506,Settings!$C$5,Expenses!$C$7:$C$506,"Mortgage Principal (not deductible)")-SUMIFS(Expenses!$E$7:$E$506,Expenses!$B$7:$B$506,F18,Expenses!$I$7:$I$506,Settings!$C$5,Expenses!$C$7:$C$506,"Capital Improvement (not deductible)")+'Schedule E'!I$6*(SUMIFS(Expenses!$E$7:$E$506,Expenses!$B$7:$B$506,"All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8" s="29" t="str">
        <f t="shared" si="1"/>
        <v/>
      </c>
      <c r="L18" s="29" t="str">
        <f>IF(F18="","",'Schedule E'!I25)</f>
        <v/>
      </c>
    </row>
    <row r="19" spans="1:12" ht="16" x14ac:dyDescent="0.2">
      <c r="A19" s="28">
        <f>DATE(Settings!$C$5,8,1)</f>
        <v>46235</v>
      </c>
      <c r="B19" s="29">
        <f>SUMIFS('Rent Log'!$G$7:$G$506,'Rent Log'!$Q$7:$Q$506,Settings!$C$5*100+8)</f>
        <v>0</v>
      </c>
      <c r="C19" s="29">
        <f>SUMIFS(Expenses!$E$7:$E$506,Expenses!$J$7:$J$506,Settings!$C$5*100+8)-SUMIFS(Expenses!$E$7:$E$506,Expenses!$J$7:$J$506,Settings!$C$5*100+8,Expenses!$C$7:$C$506,"Mortgage Principal (not deductible)")-SUMIFS(Expenses!$E$7:$E$506,Expenses!$J$7:$J$506,Settings!$C$5*100+8,Expenses!$C$7:$C$506,"Capital Improvement (not deductible)")</f>
        <v>0</v>
      </c>
      <c r="D19" s="29">
        <f t="shared" si="0"/>
        <v>0</v>
      </c>
      <c r="F19" s="30" t="str">
        <f>IF(Properties!$A$13="","",Properties!$A$13)</f>
        <v/>
      </c>
      <c r="G19" s="30" t="str">
        <f>IF(F19="","",Properties!$F$13)</f>
        <v/>
      </c>
      <c r="H19" s="29" t="str">
        <f>IF(F19="","",'Schedule E'!J7)</f>
        <v/>
      </c>
      <c r="I19" s="29" t="str">
        <f>IF(F19="","",SUMIFS(Tenants!$M$6:$M$35,Tenants!$B$6:$B$35,F19,Tenants!$M$6:$M$35,"&gt;0"))</f>
        <v/>
      </c>
      <c r="J19" s="29" t="str">
        <f>IF(F19="","",SUMIFS(Expenses!$E$7:$E$506,Expenses!$B$7:$B$506,F19,Expenses!$I$7:$I$506,Settings!$C$5)-SUMIFS(Expenses!$E$7:$E$506,Expenses!$B$7:$B$506,F19,Expenses!$I$7:$I$506,Settings!$C$5,Expenses!$C$7:$C$506,"Mortgage Principal (not deductible)")-SUMIFS(Expenses!$E$7:$E$506,Expenses!$B$7:$B$506,F19,Expenses!$I$7:$I$506,Settings!$C$5,Expenses!$C$7:$C$506,"Capital Improvement (not deductible)")+'Schedule E'!J$6*(SUMIFS(Expenses!$E$7:$E$506,Expenses!$B$7:$B$506,"All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19" s="29" t="str">
        <f t="shared" si="1"/>
        <v/>
      </c>
      <c r="L19" s="29" t="str">
        <f>IF(F19="","",'Schedule E'!J25)</f>
        <v/>
      </c>
    </row>
    <row r="20" spans="1:12" ht="16" x14ac:dyDescent="0.2">
      <c r="A20" s="28">
        <f>DATE(Settings!$C$5,9,1)</f>
        <v>46266</v>
      </c>
      <c r="B20" s="29">
        <f>SUMIFS('Rent Log'!$G$7:$G$506,'Rent Log'!$Q$7:$Q$506,Settings!$C$5*100+9)</f>
        <v>0</v>
      </c>
      <c r="C20" s="29">
        <f>SUMIFS(Expenses!$E$7:$E$506,Expenses!$J$7:$J$506,Settings!$C$5*100+9)-SUMIFS(Expenses!$E$7:$E$506,Expenses!$J$7:$J$506,Settings!$C$5*100+9,Expenses!$C$7:$C$506,"Mortgage Principal (not deductible)")-SUMIFS(Expenses!$E$7:$E$506,Expenses!$J$7:$J$506,Settings!$C$5*100+9,Expenses!$C$7:$C$506,"Capital Improvement (not deductible)")</f>
        <v>0</v>
      </c>
      <c r="D20" s="29">
        <f t="shared" si="0"/>
        <v>0</v>
      </c>
      <c r="F20" s="30" t="str">
        <f>IF(Properties!$A$14="","",Properties!$A$14)</f>
        <v/>
      </c>
      <c r="G20" s="30" t="str">
        <f>IF(F20="","",Properties!$F$14)</f>
        <v/>
      </c>
      <c r="H20" s="29" t="str">
        <f>IF(F20="","",'Schedule E'!K7)</f>
        <v/>
      </c>
      <c r="I20" s="29" t="str">
        <f>IF(F20="","",SUMIFS(Tenants!$M$6:$M$35,Tenants!$B$6:$B$35,F20,Tenants!$M$6:$M$35,"&gt;0"))</f>
        <v/>
      </c>
      <c r="J20" s="29" t="str">
        <f>IF(F20="","",SUMIFS(Expenses!$E$7:$E$506,Expenses!$B$7:$B$506,F20,Expenses!$I$7:$I$506,Settings!$C$5)-SUMIFS(Expenses!$E$7:$E$506,Expenses!$B$7:$B$506,F20,Expenses!$I$7:$I$506,Settings!$C$5,Expenses!$C$7:$C$506,"Mortgage Principal (not deductible)")-SUMIFS(Expenses!$E$7:$E$506,Expenses!$B$7:$B$506,F20,Expenses!$I$7:$I$506,Settings!$C$5,Expenses!$C$7:$C$506,"Capital Improvement (not deductible)")+'Schedule E'!K$6*(SUMIFS(Expenses!$E$7:$E$506,Expenses!$B$7:$B$506,"All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20" s="29" t="str">
        <f t="shared" si="1"/>
        <v/>
      </c>
      <c r="L20" s="29" t="str">
        <f>IF(F20="","",'Schedule E'!K25)</f>
        <v/>
      </c>
    </row>
    <row r="21" spans="1:12" ht="16" x14ac:dyDescent="0.2">
      <c r="A21" s="28">
        <f>DATE(Settings!$C$5,10,1)</f>
        <v>46296</v>
      </c>
      <c r="B21" s="29">
        <f>SUMIFS('Rent Log'!$G$7:$G$506,'Rent Log'!$Q$7:$Q$506,Settings!$C$5*100+10)</f>
        <v>0</v>
      </c>
      <c r="C21" s="29">
        <f>SUMIFS(Expenses!$E$7:$E$506,Expenses!$J$7:$J$506,Settings!$C$5*100+10)-SUMIFS(Expenses!$E$7:$E$506,Expenses!$J$7:$J$506,Settings!$C$5*100+10,Expenses!$C$7:$C$506,"Mortgage Principal (not deductible)")-SUMIFS(Expenses!$E$7:$E$506,Expenses!$J$7:$J$506,Settings!$C$5*100+10,Expenses!$C$7:$C$506,"Capital Improvement (not deductible)")</f>
        <v>0</v>
      </c>
      <c r="D21" s="29">
        <f t="shared" si="0"/>
        <v>0</v>
      </c>
      <c r="F21" s="30" t="str">
        <f>IF(Properties!$A$15="","",Properties!$A$15)</f>
        <v/>
      </c>
      <c r="G21" s="30" t="str">
        <f>IF(F21="","",Properties!$F$15)</f>
        <v/>
      </c>
      <c r="H21" s="29" t="str">
        <f>IF(F21="","",'Schedule E'!L7)</f>
        <v/>
      </c>
      <c r="I21" s="29" t="str">
        <f>IF(F21="","",SUMIFS(Tenants!$M$6:$M$35,Tenants!$B$6:$B$35,F21,Tenants!$M$6:$M$35,"&gt;0"))</f>
        <v/>
      </c>
      <c r="J21" s="29" t="str">
        <f>IF(F21="","",SUMIFS(Expenses!$E$7:$E$506,Expenses!$B$7:$B$506,F21,Expenses!$I$7:$I$506,Settings!$C$5)-SUMIFS(Expenses!$E$7:$E$506,Expenses!$B$7:$B$506,F21,Expenses!$I$7:$I$506,Settings!$C$5,Expenses!$C$7:$C$506,"Mortgage Principal (not deductible)")-SUMIFS(Expenses!$E$7:$E$506,Expenses!$B$7:$B$506,F21,Expenses!$I$7:$I$506,Settings!$C$5,Expenses!$C$7:$C$506,"Capital Improvement (not deductible)")+'Schedule E'!L$6*(SUMIFS(Expenses!$E$7:$E$506,Expenses!$B$7:$B$506,"All Properties (split)",Expenses!$I$7:$I$506,Settings!$C$5)-SUMIFS(Expenses!$E$7:$E$506,Expenses!$B$7:$B$506,"All Properties (split)",Expenses!$I$7:$I$506,Settings!$C$5,Expenses!$C$7:$C$506,"Mortgage Principal (not deductible)")-SUMIFS(Expenses!$E$7:$E$506,Expenses!$B$7:$B$506,"All Properties (split)",Expenses!$I$7:$I$506,Settings!$C$5,Expenses!$C$7:$C$506,"Capital Improvement (not deductible)")))</f>
        <v/>
      </c>
      <c r="K21" s="29" t="str">
        <f t="shared" si="1"/>
        <v/>
      </c>
      <c r="L21" s="29" t="str">
        <f>IF(F21="","",'Schedule E'!L25)</f>
        <v/>
      </c>
    </row>
    <row r="22" spans="1:12" ht="16" x14ac:dyDescent="0.2">
      <c r="A22" s="28">
        <f>DATE(Settings!$C$5,11,1)</f>
        <v>46327</v>
      </c>
      <c r="B22" s="29">
        <f>SUMIFS('Rent Log'!$G$7:$G$506,'Rent Log'!$Q$7:$Q$506,Settings!$C$5*100+11)</f>
        <v>0</v>
      </c>
      <c r="C22" s="29">
        <f>SUMIFS(Expenses!$E$7:$E$506,Expenses!$J$7:$J$506,Settings!$C$5*100+11)-SUMIFS(Expenses!$E$7:$E$506,Expenses!$J$7:$J$506,Settings!$C$5*100+11,Expenses!$C$7:$C$506,"Mortgage Principal (not deductible)")-SUMIFS(Expenses!$E$7:$E$506,Expenses!$J$7:$J$506,Settings!$C$5*100+11,Expenses!$C$7:$C$506,"Capital Improvement (not deductible)")</f>
        <v>0</v>
      </c>
      <c r="D22" s="29">
        <f t="shared" si="0"/>
        <v>0</v>
      </c>
      <c r="F22" s="31" t="s">
        <v>66</v>
      </c>
      <c r="G22" s="32">
        <f t="shared" ref="G22:L22" si="2">SUM(G12:G21)</f>
        <v>0</v>
      </c>
      <c r="H22" s="33">
        <f t="shared" si="2"/>
        <v>0</v>
      </c>
      <c r="I22" s="33">
        <f t="shared" si="2"/>
        <v>0</v>
      </c>
      <c r="J22" s="33">
        <f t="shared" si="2"/>
        <v>0</v>
      </c>
      <c r="K22" s="33">
        <f t="shared" si="2"/>
        <v>0</v>
      </c>
      <c r="L22" s="33">
        <f t="shared" si="2"/>
        <v>0</v>
      </c>
    </row>
    <row r="23" spans="1:12" ht="16" x14ac:dyDescent="0.2">
      <c r="A23" s="28">
        <f>DATE(Settings!$C$5,12,1)</f>
        <v>46357</v>
      </c>
      <c r="B23" s="29">
        <f>SUMIFS('Rent Log'!$G$7:$G$506,'Rent Log'!$Q$7:$Q$506,Settings!$C$5*100+12)</f>
        <v>0</v>
      </c>
      <c r="C23" s="29">
        <f>SUMIFS(Expenses!$E$7:$E$506,Expenses!$J$7:$J$506,Settings!$C$5*100+12)-SUMIFS(Expenses!$E$7:$E$506,Expenses!$J$7:$J$506,Settings!$C$5*100+12,Expenses!$C$7:$C$506,"Mortgage Principal (not deductible)")-SUMIFS(Expenses!$E$7:$E$506,Expenses!$J$7:$J$506,Settings!$C$5*100+12,Expenses!$C$7:$C$506,"Capital Improvement (not deductible)")</f>
        <v>0</v>
      </c>
      <c r="D23" s="29">
        <f t="shared" si="0"/>
        <v>0</v>
      </c>
    </row>
    <row r="24" spans="1:12" ht="16" x14ac:dyDescent="0.2">
      <c r="A24" s="31" t="s">
        <v>66</v>
      </c>
      <c r="B24" s="33">
        <f>SUM(B12:B23)</f>
        <v>0</v>
      </c>
      <c r="C24" s="33">
        <f>SUM(C12:C23)</f>
        <v>0</v>
      </c>
      <c r="D24" s="33">
        <f>SUM(D12:D23)</f>
        <v>0</v>
      </c>
    </row>
    <row r="27" spans="1:12" ht="18" x14ac:dyDescent="0.2">
      <c r="A27" s="26" t="s">
        <v>67</v>
      </c>
    </row>
    <row r="28" spans="1:12" ht="27.75" customHeight="1" x14ac:dyDescent="0.2">
      <c r="A28" s="27" t="s">
        <v>68</v>
      </c>
      <c r="B28" s="27" t="s">
        <v>28</v>
      </c>
      <c r="C28" s="27" t="s">
        <v>69</v>
      </c>
      <c r="D28" s="27" t="s">
        <v>70</v>
      </c>
    </row>
    <row r="29" spans="1:12" ht="16" x14ac:dyDescent="0.2">
      <c r="A29" s="34" t="s">
        <v>71</v>
      </c>
      <c r="B29" s="34" t="s">
        <v>72</v>
      </c>
      <c r="C29" s="35">
        <f>SUMIFS(Expenses!$E$7:$E$506,Expenses!$C$7:$C$506,A29,Expenses!$I$7:$I$506,Settings!$C$5)</f>
        <v>0</v>
      </c>
      <c r="D29" s="36">
        <f t="shared" ref="D29:D44" si="3">IF(SUM($C$29:$C$44)=0,0,C29/SUM($C$29:$C$44))</f>
        <v>0</v>
      </c>
    </row>
    <row r="30" spans="1:12" ht="16" x14ac:dyDescent="0.2">
      <c r="A30" s="34" t="s">
        <v>73</v>
      </c>
      <c r="B30" s="34" t="s">
        <v>74</v>
      </c>
      <c r="C30" s="35">
        <f>SUMIFS(Expenses!$E$7:$E$506,Expenses!$C$7:$C$506,A30,Expenses!$I$7:$I$506,Settings!$C$5)+SUMIFS(Mileage!$F$7:$F$506,Mileage!$G$7:$G$506,Settings!$C$5)</f>
        <v>0</v>
      </c>
      <c r="D30" s="36">
        <f t="shared" si="3"/>
        <v>0</v>
      </c>
    </row>
    <row r="31" spans="1:12" ht="16" x14ac:dyDescent="0.2">
      <c r="A31" s="34" t="s">
        <v>75</v>
      </c>
      <c r="B31" s="34" t="s">
        <v>76</v>
      </c>
      <c r="C31" s="35">
        <f>SUMIFS(Expenses!$E$7:$E$506,Expenses!$C$7:$C$506,A31,Expenses!$I$7:$I$506,Settings!$C$5)</f>
        <v>0</v>
      </c>
      <c r="D31" s="36">
        <f t="shared" si="3"/>
        <v>0</v>
      </c>
    </row>
    <row r="32" spans="1:12" ht="16" x14ac:dyDescent="0.2">
      <c r="A32" s="34" t="s">
        <v>77</v>
      </c>
      <c r="B32" s="34" t="s">
        <v>78</v>
      </c>
      <c r="C32" s="35">
        <f>SUMIFS(Expenses!$E$7:$E$506,Expenses!$C$7:$C$506,A32,Expenses!$I$7:$I$506,Settings!$C$5)</f>
        <v>0</v>
      </c>
      <c r="D32" s="36">
        <f t="shared" si="3"/>
        <v>0</v>
      </c>
    </row>
    <row r="33" spans="1:4" ht="16" x14ac:dyDescent="0.2">
      <c r="A33" s="34" t="s">
        <v>79</v>
      </c>
      <c r="B33" s="34" t="s">
        <v>80</v>
      </c>
      <c r="C33" s="35">
        <f>SUMIFS(Expenses!$E$7:$E$506,Expenses!$C$7:$C$506,A33,Expenses!$I$7:$I$506,Settings!$C$5)</f>
        <v>0</v>
      </c>
      <c r="D33" s="36">
        <f t="shared" si="3"/>
        <v>0</v>
      </c>
    </row>
    <row r="34" spans="1:4" ht="16" x14ac:dyDescent="0.2">
      <c r="A34" s="34" t="s">
        <v>81</v>
      </c>
      <c r="B34" s="34" t="s">
        <v>82</v>
      </c>
      <c r="C34" s="35">
        <f>SUMIFS(Expenses!$E$7:$E$506,Expenses!$C$7:$C$506,A34,Expenses!$I$7:$I$506,Settings!$C$5)</f>
        <v>0</v>
      </c>
      <c r="D34" s="36">
        <f t="shared" si="3"/>
        <v>0</v>
      </c>
    </row>
    <row r="35" spans="1:4" ht="16" x14ac:dyDescent="0.2">
      <c r="A35" s="34" t="s">
        <v>83</v>
      </c>
      <c r="B35" s="34" t="s">
        <v>84</v>
      </c>
      <c r="C35" s="35">
        <f>SUMIFS(Expenses!$E$7:$E$506,Expenses!$C$7:$C$506,A35,Expenses!$I$7:$I$506,Settings!$C$5)</f>
        <v>0</v>
      </c>
      <c r="D35" s="36">
        <f t="shared" si="3"/>
        <v>0</v>
      </c>
    </row>
    <row r="36" spans="1:4" ht="16" x14ac:dyDescent="0.2">
      <c r="A36" s="34" t="s">
        <v>85</v>
      </c>
      <c r="B36" s="34" t="s">
        <v>86</v>
      </c>
      <c r="C36" s="35">
        <f>SUMIFS(Expenses!$E$7:$E$506,Expenses!$C$7:$C$506,A36,Expenses!$I$7:$I$506,Settings!$C$5)</f>
        <v>0</v>
      </c>
      <c r="D36" s="36">
        <f t="shared" si="3"/>
        <v>0</v>
      </c>
    </row>
    <row r="37" spans="1:4" ht="16" x14ac:dyDescent="0.2">
      <c r="A37" s="34" t="s">
        <v>87</v>
      </c>
      <c r="B37" s="34" t="s">
        <v>88</v>
      </c>
      <c r="C37" s="35">
        <f>SUMIFS(Expenses!$E$7:$E$506,Expenses!$C$7:$C$506,A37,Expenses!$I$7:$I$506,Settings!$C$5)</f>
        <v>0</v>
      </c>
      <c r="D37" s="36">
        <f t="shared" si="3"/>
        <v>0</v>
      </c>
    </row>
    <row r="38" spans="1:4" ht="16" x14ac:dyDescent="0.2">
      <c r="A38" s="34" t="s">
        <v>89</v>
      </c>
      <c r="B38" s="34" t="s">
        <v>90</v>
      </c>
      <c r="C38" s="35">
        <f>SUMIFS(Expenses!$E$7:$E$506,Expenses!$C$7:$C$506,A38,Expenses!$I$7:$I$506,Settings!$C$5)</f>
        <v>0</v>
      </c>
      <c r="D38" s="36">
        <f t="shared" si="3"/>
        <v>0</v>
      </c>
    </row>
    <row r="39" spans="1:4" ht="16" x14ac:dyDescent="0.2">
      <c r="A39" s="34" t="s">
        <v>91</v>
      </c>
      <c r="B39" s="34" t="s">
        <v>92</v>
      </c>
      <c r="C39" s="35">
        <f>SUMIFS(Expenses!$E$7:$E$506,Expenses!$C$7:$C$506,A39,Expenses!$I$7:$I$506,Settings!$C$5)</f>
        <v>0</v>
      </c>
      <c r="D39" s="36">
        <f t="shared" si="3"/>
        <v>0</v>
      </c>
    </row>
    <row r="40" spans="1:4" ht="16" x14ac:dyDescent="0.2">
      <c r="A40" s="34" t="s">
        <v>93</v>
      </c>
      <c r="B40" s="34" t="s">
        <v>94</v>
      </c>
      <c r="C40" s="35">
        <f>SUMIFS(Expenses!$E$7:$E$506,Expenses!$C$7:$C$506,A40,Expenses!$I$7:$I$506,Settings!$C$5)</f>
        <v>0</v>
      </c>
      <c r="D40" s="36">
        <f t="shared" si="3"/>
        <v>0</v>
      </c>
    </row>
    <row r="41" spans="1:4" ht="16" x14ac:dyDescent="0.2">
      <c r="A41" s="34" t="s">
        <v>95</v>
      </c>
      <c r="B41" s="34" t="s">
        <v>96</v>
      </c>
      <c r="C41" s="35">
        <f>SUMIFS(Expenses!$E$7:$E$506,Expenses!$C$7:$C$506,A41,Expenses!$I$7:$I$506,Settings!$C$5)</f>
        <v>0</v>
      </c>
      <c r="D41" s="36">
        <f t="shared" si="3"/>
        <v>0</v>
      </c>
    </row>
    <row r="42" spans="1:4" ht="16" x14ac:dyDescent="0.2">
      <c r="A42" s="34" t="s">
        <v>97</v>
      </c>
      <c r="B42" s="34" t="s">
        <v>98</v>
      </c>
      <c r="C42" s="35">
        <f>SUMIFS(Expenses!$E$7:$E$506,Expenses!$C$7:$C$506,A42,Expenses!$I$7:$I$506,Settings!$C$5)</f>
        <v>0</v>
      </c>
      <c r="D42" s="36">
        <f t="shared" si="3"/>
        <v>0</v>
      </c>
    </row>
    <row r="43" spans="1:4" ht="16" x14ac:dyDescent="0.2">
      <c r="A43" s="37" t="s">
        <v>99</v>
      </c>
      <c r="B43" s="37" t="s">
        <v>100</v>
      </c>
      <c r="C43" s="38">
        <f>SUMIFS(Expenses!$E$7:$E$506,Expenses!$C$7:$C$506,A43,Expenses!$I$7:$I$506,Settings!$C$5)</f>
        <v>0</v>
      </c>
      <c r="D43" s="39">
        <f t="shared" si="3"/>
        <v>0</v>
      </c>
    </row>
    <row r="44" spans="1:4" ht="16" x14ac:dyDescent="0.2">
      <c r="A44" s="37" t="s">
        <v>101</v>
      </c>
      <c r="B44" s="37" t="s">
        <v>102</v>
      </c>
      <c r="C44" s="38">
        <f>SUMIFS(Expenses!$E$7:$E$506,Expenses!$C$7:$C$506,A44,Expenses!$I$7:$I$506,Settings!$C$5)</f>
        <v>0</v>
      </c>
      <c r="D44" s="39">
        <f t="shared" si="3"/>
        <v>0</v>
      </c>
    </row>
    <row r="46" spans="1:4" x14ac:dyDescent="0.2">
      <c r="A46" s="25" t="s">
        <v>103</v>
      </c>
    </row>
  </sheetData>
  <mergeCells count="12">
    <mergeCell ref="K6:L6"/>
    <mergeCell ref="A7:B7"/>
    <mergeCell ref="C7:D7"/>
    <mergeCell ref="E7:F7"/>
    <mergeCell ref="G7:H7"/>
    <mergeCell ref="I7:J7"/>
    <mergeCell ref="K7:L7"/>
    <mergeCell ref="A6:B6"/>
    <mergeCell ref="C6:D6"/>
    <mergeCell ref="E6:F6"/>
    <mergeCell ref="G6:H6"/>
    <mergeCell ref="I6:J6"/>
  </mergeCells>
  <conditionalFormatting sqref="I12:I21">
    <cfRule type="cellIs" dxfId="18" priority="2" operator="greaterThan">
      <formula>0</formula>
    </cfRule>
  </conditionalFormatting>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B45309"/>
  </sheetPr>
  <dimension ref="A1:D10"/>
  <sheetViews>
    <sheetView showGridLines="0" zoomScaleNormal="100" workbookViewId="0"/>
  </sheetViews>
  <sheetFormatPr baseColWidth="10" defaultColWidth="8.6640625" defaultRowHeight="15" x14ac:dyDescent="0.2"/>
  <cols>
    <col min="1" max="1" width="27.6640625" customWidth="1"/>
    <col min="2" max="3" width="13.83203125" customWidth="1"/>
    <col min="4" max="4" width="72" customWidth="1"/>
  </cols>
  <sheetData>
    <row r="1" spans="1:4" ht="30" customHeight="1" x14ac:dyDescent="0.25">
      <c r="A1" s="21" t="s">
        <v>104</v>
      </c>
    </row>
    <row r="2" spans="1:4" ht="16" x14ac:dyDescent="0.2">
      <c r="A2" s="22" t="s">
        <v>105</v>
      </c>
    </row>
    <row r="3" spans="1:4" x14ac:dyDescent="0.2">
      <c r="A3" s="23" t="s">
        <v>1</v>
      </c>
    </row>
    <row r="4" spans="1:4" ht="27.75" customHeight="1" x14ac:dyDescent="0.2">
      <c r="A4" s="4" t="s">
        <v>106</v>
      </c>
      <c r="B4" s="4"/>
      <c r="C4" s="41" t="s">
        <v>107</v>
      </c>
      <c r="D4" s="40" t="s">
        <v>108</v>
      </c>
    </row>
    <row r="5" spans="1:4" ht="43.5" customHeight="1" x14ac:dyDescent="0.2">
      <c r="A5" s="3" t="s">
        <v>109</v>
      </c>
      <c r="B5" s="3"/>
      <c r="C5" s="42">
        <v>2026</v>
      </c>
      <c r="D5" s="43" t="s">
        <v>110</v>
      </c>
    </row>
    <row r="6" spans="1:4" ht="43.5" customHeight="1" x14ac:dyDescent="0.2">
      <c r="A6" s="3" t="s">
        <v>111</v>
      </c>
      <c r="B6" s="3"/>
      <c r="C6" s="44">
        <v>0.72499999999999998</v>
      </c>
      <c r="D6" s="43" t="s">
        <v>112</v>
      </c>
    </row>
    <row r="7" spans="1:4" ht="43.5" customHeight="1" x14ac:dyDescent="0.2">
      <c r="A7" s="3" t="s">
        <v>113</v>
      </c>
      <c r="B7" s="3"/>
      <c r="C7" s="42">
        <v>5</v>
      </c>
      <c r="D7" s="43" t="s">
        <v>114</v>
      </c>
    </row>
    <row r="8" spans="1:4" ht="43.5" customHeight="1" x14ac:dyDescent="0.2">
      <c r="A8" s="3" t="s">
        <v>115</v>
      </c>
      <c r="B8" s="3"/>
      <c r="C8" s="45">
        <v>50</v>
      </c>
      <c r="D8" s="43" t="s">
        <v>116</v>
      </c>
    </row>
    <row r="9" spans="1:4" ht="43.5" customHeight="1" x14ac:dyDescent="0.2">
      <c r="A9" s="3" t="inlineStr">
        <is>
          <t>IRS mileage rate, second part of year ($ per mile)</t>
        </is>
      </c>
      <c r="B9" s="3"/>
      <c r="C9" s="44">
        <v>0.76</v>
      </c>
      <c r="D9" s="43" t="inlineStr">
        <is>
          <t>2026: 76 cents per mile for drives from 07/01 to 12/31 (IRS Announcement 2026-11). If the IRS sets one rate for the whole year, type the same rate here as above.</t>
        </is>
      </c>
    </row>
    <row r="10" spans="1:4" ht="43.5" customHeight="1" x14ac:dyDescent="0.2">
      <c r="A10" s="3" t="inlineStr">
        <is>
          <t>Month the second rate starts (1 to 12)</t>
        </is>
      </c>
      <c r="B10" s="3"/>
      <c r="C10" s="42">
        <v>7</v>
      </c>
      <c r="D10" s="43" t="inlineStr">
        <is>
          <t>7 means drives on or after July 1 of the tax year use the second rate. Leave blank to use only the first rate.</t>
        </is>
      </c>
    </row>
  </sheetData>
  <mergeCells count="7">
    <mergeCell ref="A4:B4"/>
    <mergeCell ref="A5:B5"/>
    <mergeCell ref="A6:B6"/>
    <mergeCell ref="A7:B7"/>
    <mergeCell ref="A8:B8"/>
    <mergeCell ref="A9:B9"/>
    <mergeCell ref="A10:B10"/>
  </mergeCell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8"/>
  <sheetViews>
    <sheetView showGridLines="0" zoomScaleNormal="100" workbookViewId="0">
      <pane xSplit="1" ySplit="5" topLeftCell="G6" activePane="bottomRight" state="frozen"/>
      <selection pane="topRight" activeCell="B1" sqref="B1"/>
      <selection pane="bottomLeft" activeCell="A6" sqref="A6"/>
      <selection pane="bottomRight"/>
    </sheetView>
  </sheetViews>
  <sheetFormatPr baseColWidth="10" defaultColWidth="8.6640625" defaultRowHeight="15" x14ac:dyDescent="0.2"/>
  <cols>
    <col min="1" max="2" width="20" customWidth="1"/>
    <col min="3" max="3" width="12" customWidth="1"/>
    <col min="4" max="4" width="8" customWidth="1"/>
    <col min="5" max="5" width="14" customWidth="1"/>
    <col min="6" max="6" width="8" customWidth="1"/>
    <col min="7" max="8" width="12.83203125" customWidth="1"/>
    <col min="9" max="9" width="16.5" customWidth="1"/>
    <col min="10" max="10" width="12.83203125" customWidth="1"/>
    <col min="11" max="11" width="13.5" customWidth="1"/>
    <col min="12" max="12" width="15" customWidth="1"/>
    <col min="13" max="13" width="12.83203125" customWidth="1"/>
    <col min="14" max="14" width="59.33203125" customWidth="1"/>
  </cols>
  <sheetData>
    <row r="1" spans="1:14" ht="30" customHeight="1" x14ac:dyDescent="0.25">
      <c r="A1" s="21" t="s">
        <v>16</v>
      </c>
    </row>
    <row r="2" spans="1:14" ht="16" x14ac:dyDescent="0.2">
      <c r="A2" s="22" t="s">
        <v>117</v>
      </c>
    </row>
    <row r="3" spans="1:14" x14ac:dyDescent="0.2">
      <c r="A3" s="23" t="s">
        <v>1</v>
      </c>
    </row>
    <row r="4" spans="1:14" x14ac:dyDescent="0.2">
      <c r="A4" s="25" t="s">
        <v>118</v>
      </c>
    </row>
    <row r="5" spans="1:14" ht="48" customHeight="1" x14ac:dyDescent="0.2">
      <c r="A5" s="27" t="s">
        <v>119</v>
      </c>
      <c r="B5" s="27" t="s">
        <v>120</v>
      </c>
      <c r="C5" s="27" t="s">
        <v>121</v>
      </c>
      <c r="D5" s="27" t="s">
        <v>122</v>
      </c>
      <c r="E5" s="27" t="s">
        <v>123</v>
      </c>
      <c r="F5" s="46" t="s">
        <v>62</v>
      </c>
      <c r="G5" s="27" t="s">
        <v>124</v>
      </c>
      <c r="H5" s="27" t="s">
        <v>125</v>
      </c>
      <c r="I5" s="27" t="s">
        <v>126</v>
      </c>
      <c r="J5" s="27" t="s">
        <v>127</v>
      </c>
      <c r="K5" s="46" t="s">
        <v>128</v>
      </c>
      <c r="L5" s="46" t="s">
        <v>129</v>
      </c>
      <c r="M5" s="27" t="s">
        <v>130</v>
      </c>
      <c r="N5" s="27" t="s">
        <v>108</v>
      </c>
    </row>
    <row r="6" spans="1:14" ht="16" x14ac:dyDescent="0.2">
      <c r="A6" s="47"/>
      <c r="B6" s="47"/>
      <c r="C6" s="47"/>
      <c r="D6" s="47"/>
      <c r="E6" s="47"/>
      <c r="F6" s="48" t="str">
        <f>IF(A6="","",COUNTIF(Tenants!$B$6:$B$35,A6))</f>
        <v/>
      </c>
      <c r="G6" s="49"/>
      <c r="H6" s="49"/>
      <c r="I6" s="49"/>
      <c r="J6" s="50"/>
      <c r="K6" s="51" t="str">
        <f t="shared" ref="K6:K15" si="0">IF(OR(A6="",G6=""),"",MAX(0,G6-H6+I6))</f>
        <v/>
      </c>
      <c r="L6" s="52" t="str">
        <f>IF(OR(A6="",J6="",K6=""),"",IF(YEAR(J6)&gt;Settings!$C$5,0,MAX(0,MIN(K6/27.5*IF(YEAR(J6)=Settings!$C$5,(12.5-MONTH(J6))/12,1),K6-K6/27.5*((12.5-MONTH(J6))/12+MAX(0,Settings!$C$5-YEAR(J6)-1))*(YEAR(J6)&lt;Settings!$C$5)))))</f>
        <v/>
      </c>
      <c r="M6" s="49"/>
      <c r="N6" s="47" t="s">
        <v>131</v>
      </c>
    </row>
    <row r="7" spans="1:14" ht="16" x14ac:dyDescent="0.2">
      <c r="A7" s="47"/>
      <c r="B7" s="47"/>
      <c r="C7" s="47"/>
      <c r="D7" s="47"/>
      <c r="E7" s="47"/>
      <c r="F7" s="48" t="str">
        <f>IF(A7="","",COUNTIF(Tenants!$B$6:$B$35,A7))</f>
        <v/>
      </c>
      <c r="G7" s="49"/>
      <c r="H7" s="49"/>
      <c r="I7" s="49"/>
      <c r="J7" s="50"/>
      <c r="K7" s="51" t="str">
        <f t="shared" si="0"/>
        <v/>
      </c>
      <c r="L7" s="52" t="str">
        <f>IF(OR(A7="",J7="",K7=""),"",IF(YEAR(J7)&gt;Settings!$C$5,0,MAX(0,MIN(K7/27.5*IF(YEAR(J7)=Settings!$C$5,(12.5-MONTH(J7))/12,1),K7-K7/27.5*((12.5-MONTH(J7))/12+MAX(0,Settings!$C$5-YEAR(J7)-1))*(YEAR(J7)&lt;Settings!$C$5)))))</f>
        <v/>
      </c>
      <c r="M7" s="49"/>
      <c r="N7" s="47"/>
    </row>
    <row r="8" spans="1:14" ht="16" x14ac:dyDescent="0.2">
      <c r="A8" s="47"/>
      <c r="B8" s="47"/>
      <c r="C8" s="47"/>
      <c r="D8" s="47"/>
      <c r="E8" s="47"/>
      <c r="F8" s="48" t="str">
        <f>IF(A8="","",COUNTIF(Tenants!$B$6:$B$35,A8))</f>
        <v/>
      </c>
      <c r="G8" s="49"/>
      <c r="H8" s="49"/>
      <c r="I8" s="49"/>
      <c r="J8" s="50"/>
      <c r="K8" s="51" t="str">
        <f t="shared" si="0"/>
        <v/>
      </c>
      <c r="L8" s="52" t="str">
        <f>IF(OR(A8="",J8="",K8=""),"",IF(YEAR(J8)&gt;Settings!$C$5,0,MAX(0,MIN(K8/27.5*IF(YEAR(J8)=Settings!$C$5,(12.5-MONTH(J8))/12,1),K8-K8/27.5*((12.5-MONTH(J8))/12+MAX(0,Settings!$C$5-YEAR(J8)-1))*(YEAR(J8)&lt;Settings!$C$5)))))</f>
        <v/>
      </c>
      <c r="M8" s="49"/>
      <c r="N8" s="47"/>
    </row>
    <row r="9" spans="1:14" ht="16" x14ac:dyDescent="0.2">
      <c r="A9" s="47"/>
      <c r="B9" s="47"/>
      <c r="C9" s="47"/>
      <c r="D9" s="47"/>
      <c r="E9" s="47"/>
      <c r="F9" s="48" t="str">
        <f>IF(A9="","",COUNTIF(Tenants!$B$6:$B$35,A9))</f>
        <v/>
      </c>
      <c r="G9" s="49"/>
      <c r="H9" s="49"/>
      <c r="I9" s="49"/>
      <c r="J9" s="50"/>
      <c r="K9" s="51" t="str">
        <f t="shared" si="0"/>
        <v/>
      </c>
      <c r="L9" s="52" t="str">
        <f>IF(OR(A9="",J9="",K9=""),"",IF(YEAR(J9)&gt;Settings!$C$5,0,MAX(0,MIN(K9/27.5*IF(YEAR(J9)=Settings!$C$5,(12.5-MONTH(J9))/12,1),K9-K9/27.5*((12.5-MONTH(J9))/12+MAX(0,Settings!$C$5-YEAR(J9)-1))*(YEAR(J9)&lt;Settings!$C$5)))))</f>
        <v/>
      </c>
      <c r="M9" s="49"/>
      <c r="N9" s="47"/>
    </row>
    <row r="10" spans="1:14" ht="16" x14ac:dyDescent="0.2">
      <c r="A10" s="47"/>
      <c r="B10" s="47"/>
      <c r="C10" s="47"/>
      <c r="D10" s="47"/>
      <c r="E10" s="47"/>
      <c r="F10" s="48" t="str">
        <f>IF(A10="","",COUNTIF(Tenants!$B$6:$B$35,A10))</f>
        <v/>
      </c>
      <c r="G10" s="49"/>
      <c r="H10" s="49"/>
      <c r="I10" s="49"/>
      <c r="J10" s="50"/>
      <c r="K10" s="51" t="str">
        <f t="shared" si="0"/>
        <v/>
      </c>
      <c r="L10" s="52" t="str">
        <f>IF(OR(A10="",J10="",K10=""),"",IF(YEAR(J10)&gt;Settings!$C$5,0,MAX(0,MIN(K10/27.5*IF(YEAR(J10)=Settings!$C$5,(12.5-MONTH(J10))/12,1),K10-K10/27.5*((12.5-MONTH(J10))/12+MAX(0,Settings!$C$5-YEAR(J10)-1))*(YEAR(J10)&lt;Settings!$C$5)))))</f>
        <v/>
      </c>
      <c r="M10" s="49"/>
      <c r="N10" s="47"/>
    </row>
    <row r="11" spans="1:14" ht="16" x14ac:dyDescent="0.2">
      <c r="A11" s="47"/>
      <c r="B11" s="47"/>
      <c r="C11" s="47"/>
      <c r="D11" s="47"/>
      <c r="E11" s="47"/>
      <c r="F11" s="48" t="str">
        <f>IF(A11="","",COUNTIF(Tenants!$B$6:$B$35,A11))</f>
        <v/>
      </c>
      <c r="G11" s="49"/>
      <c r="H11" s="49"/>
      <c r="I11" s="49"/>
      <c r="J11" s="50"/>
      <c r="K11" s="51" t="str">
        <f t="shared" si="0"/>
        <v/>
      </c>
      <c r="L11" s="52" t="str">
        <f>IF(OR(A11="",J11="",K11=""),"",IF(YEAR(J11)&gt;Settings!$C$5,0,MAX(0,MIN(K11/27.5*IF(YEAR(J11)=Settings!$C$5,(12.5-MONTH(J11))/12,1),K11-K11/27.5*((12.5-MONTH(J11))/12+MAX(0,Settings!$C$5-YEAR(J11)-1))*(YEAR(J11)&lt;Settings!$C$5)))))</f>
        <v/>
      </c>
      <c r="M11" s="49"/>
      <c r="N11" s="47"/>
    </row>
    <row r="12" spans="1:14" ht="16" x14ac:dyDescent="0.2">
      <c r="A12" s="47"/>
      <c r="B12" s="47"/>
      <c r="C12" s="47"/>
      <c r="D12" s="47"/>
      <c r="E12" s="47"/>
      <c r="F12" s="48" t="str">
        <f>IF(A12="","",COUNTIF(Tenants!$B$6:$B$35,A12))</f>
        <v/>
      </c>
      <c r="G12" s="49"/>
      <c r="H12" s="49"/>
      <c r="I12" s="49"/>
      <c r="J12" s="50"/>
      <c r="K12" s="51" t="str">
        <f t="shared" si="0"/>
        <v/>
      </c>
      <c r="L12" s="52" t="str">
        <f>IF(OR(A12="",J12="",K12=""),"",IF(YEAR(J12)&gt;Settings!$C$5,0,MAX(0,MIN(K12/27.5*IF(YEAR(J12)=Settings!$C$5,(12.5-MONTH(J12))/12,1),K12-K12/27.5*((12.5-MONTH(J12))/12+MAX(0,Settings!$C$5-YEAR(J12)-1))*(YEAR(J12)&lt;Settings!$C$5)))))</f>
        <v/>
      </c>
      <c r="M12" s="49"/>
      <c r="N12" s="47"/>
    </row>
    <row r="13" spans="1:14" ht="16" x14ac:dyDescent="0.2">
      <c r="A13" s="47"/>
      <c r="B13" s="47"/>
      <c r="C13" s="47"/>
      <c r="D13" s="47"/>
      <c r="E13" s="47"/>
      <c r="F13" s="48" t="str">
        <f>IF(A13="","",COUNTIF(Tenants!$B$6:$B$35,A13))</f>
        <v/>
      </c>
      <c r="G13" s="49"/>
      <c r="H13" s="49"/>
      <c r="I13" s="49"/>
      <c r="J13" s="50"/>
      <c r="K13" s="51" t="str">
        <f t="shared" si="0"/>
        <v/>
      </c>
      <c r="L13" s="52" t="str">
        <f>IF(OR(A13="",J13="",K13=""),"",IF(YEAR(J13)&gt;Settings!$C$5,0,MAX(0,MIN(K13/27.5*IF(YEAR(J13)=Settings!$C$5,(12.5-MONTH(J13))/12,1),K13-K13/27.5*((12.5-MONTH(J13))/12+MAX(0,Settings!$C$5-YEAR(J13)-1))*(YEAR(J13)&lt;Settings!$C$5)))))</f>
        <v/>
      </c>
      <c r="M13" s="49"/>
      <c r="N13" s="47"/>
    </row>
    <row r="14" spans="1:14" ht="16" x14ac:dyDescent="0.2">
      <c r="A14" s="47"/>
      <c r="B14" s="47"/>
      <c r="C14" s="47"/>
      <c r="D14" s="47"/>
      <c r="E14" s="47"/>
      <c r="F14" s="48" t="str">
        <f>IF(A14="","",COUNTIF(Tenants!$B$6:$B$35,A14))</f>
        <v/>
      </c>
      <c r="G14" s="49"/>
      <c r="H14" s="49"/>
      <c r="I14" s="49"/>
      <c r="J14" s="50"/>
      <c r="K14" s="51" t="str">
        <f t="shared" si="0"/>
        <v/>
      </c>
      <c r="L14" s="52" t="str">
        <f>IF(OR(A14="",J14="",K14=""),"",IF(YEAR(J14)&gt;Settings!$C$5,0,MAX(0,MIN(K14/27.5*IF(YEAR(J14)=Settings!$C$5,(12.5-MONTH(J14))/12,1),K14-K14/27.5*((12.5-MONTH(J14))/12+MAX(0,Settings!$C$5-YEAR(J14)-1))*(YEAR(J14)&lt;Settings!$C$5)))))</f>
        <v/>
      </c>
      <c r="M14" s="49"/>
      <c r="N14" s="47"/>
    </row>
    <row r="15" spans="1:14" ht="16" x14ac:dyDescent="0.2">
      <c r="A15" s="47"/>
      <c r="B15" s="47"/>
      <c r="C15" s="47"/>
      <c r="D15" s="47"/>
      <c r="E15" s="47"/>
      <c r="F15" s="48" t="str">
        <f>IF(A15="","",COUNTIF(Tenants!$B$6:$B$35,A15))</f>
        <v/>
      </c>
      <c r="G15" s="49"/>
      <c r="H15" s="49"/>
      <c r="I15" s="49"/>
      <c r="J15" s="50"/>
      <c r="K15" s="51" t="str">
        <f t="shared" si="0"/>
        <v/>
      </c>
      <c r="L15" s="52" t="str">
        <f>IF(OR(A15="",J15="",K15=""),"",IF(YEAR(J15)&gt;Settings!$C$5,0,MAX(0,MIN(K15/27.5*IF(YEAR(J15)=Settings!$C$5,(12.5-MONTH(J15))/12,1),K15-K15/27.5*((12.5-MONTH(J15))/12+MAX(0,Settings!$C$5-YEAR(J15)-1))*(YEAR(J15)&lt;Settings!$C$5)))))</f>
        <v/>
      </c>
      <c r="M15" s="49"/>
      <c r="N15" s="47"/>
    </row>
    <row r="16" spans="1:14" ht="16" x14ac:dyDescent="0.2">
      <c r="A16" s="53" t="s">
        <v>132</v>
      </c>
      <c r="F16" s="31">
        <f>SUM(F6:F15)</f>
        <v>0</v>
      </c>
      <c r="G16" s="33">
        <f>SUM(G6:G15)</f>
        <v>0</v>
      </c>
      <c r="H16" s="33">
        <f>SUM(H6:H15)</f>
        <v>0</v>
      </c>
      <c r="I16" s="33">
        <f>SUM(I6:I15)</f>
        <v>0</v>
      </c>
      <c r="K16" s="33">
        <f>SUM(K6:K15)</f>
        <v>0</v>
      </c>
      <c r="L16" s="54">
        <f>SUM(L6:L15)</f>
        <v>0</v>
      </c>
      <c r="M16" s="33">
        <f>SUM(M6:M15)</f>
        <v>0</v>
      </c>
    </row>
    <row r="18" spans="1:1" x14ac:dyDescent="0.2">
      <c r="A18" s="55" t="s">
        <v>133</v>
      </c>
    </row>
  </sheetData>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1">
        <x14:dataValidation type="list" allowBlank="1" showErrorMessage="1" errorTitle="Pick from the list" error="Please choose a value from the dropdown." xr:uid="{00000000-0002-0000-0300-000000000000}">
          <x14:formula1>
            <xm:f>Lists!$H$3:$H$9</xm:f>
          </x14:formula1>
          <x14:formula2>
            <xm:f>0</xm:f>
          </x14:formula2>
          <xm:sqref>E6:E15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35"/>
  <sheetViews>
    <sheetView showGridLines="0" zoomScaleNormal="100" workbookViewId="0">
      <pane xSplit="1" ySplit="5" topLeftCell="B6" activePane="bottomRight" state="frozen"/>
      <selection pane="topRight" activeCell="B1" sqref="B1"/>
      <selection pane="bottomLeft" activeCell="A6" sqref="A6"/>
      <selection pane="bottomRight"/>
    </sheetView>
  </sheetViews>
  <sheetFormatPr baseColWidth="10" defaultColWidth="8.6640625" defaultRowHeight="15" x14ac:dyDescent="0.2"/>
  <cols>
    <col min="1" max="1" width="22" customWidth="1"/>
    <col min="2" max="3" width="19" customWidth="1"/>
    <col min="4" max="4" width="15" customWidth="1"/>
    <col min="5" max="5" width="25" customWidth="1"/>
    <col min="6" max="8" width="12.83203125" customWidth="1"/>
    <col min="9" max="9" width="8" customWidth="1"/>
    <col min="10" max="10" width="12.83203125" customWidth="1"/>
    <col min="11" max="11" width="17" customWidth="1"/>
    <col min="12" max="12" width="16" customWidth="1"/>
    <col min="13" max="13" width="12.83203125" customWidth="1"/>
  </cols>
  <sheetData>
    <row r="1" spans="1:13" ht="30" customHeight="1" x14ac:dyDescent="0.25">
      <c r="A1" s="21" t="s">
        <v>134</v>
      </c>
    </row>
    <row r="2" spans="1:13" ht="16" x14ac:dyDescent="0.2">
      <c r="A2" s="22" t="s">
        <v>135</v>
      </c>
    </row>
    <row r="3" spans="1:13" x14ac:dyDescent="0.2">
      <c r="A3" s="23" t="s">
        <v>1</v>
      </c>
    </row>
    <row r="4" spans="1:13" x14ac:dyDescent="0.2">
      <c r="A4" s="25" t="s">
        <v>136</v>
      </c>
    </row>
    <row r="5" spans="1:13" ht="48" customHeight="1" x14ac:dyDescent="0.2">
      <c r="A5" s="27" t="s">
        <v>137</v>
      </c>
      <c r="B5" s="27" t="s">
        <v>61</v>
      </c>
      <c r="C5" s="27" t="s">
        <v>138</v>
      </c>
      <c r="D5" s="27" t="s">
        <v>139</v>
      </c>
      <c r="E5" s="27" t="s">
        <v>140</v>
      </c>
      <c r="F5" s="27" t="s">
        <v>141</v>
      </c>
      <c r="G5" s="27" t="s">
        <v>142</v>
      </c>
      <c r="H5" s="27" t="s">
        <v>143</v>
      </c>
      <c r="I5" s="27" t="s">
        <v>144</v>
      </c>
      <c r="J5" s="27" t="s">
        <v>145</v>
      </c>
      <c r="K5" s="46" t="s">
        <v>146</v>
      </c>
      <c r="L5" s="27" t="s">
        <v>108</v>
      </c>
      <c r="M5" s="46" t="s">
        <v>147</v>
      </c>
    </row>
    <row r="6" spans="1:13" ht="16" x14ac:dyDescent="0.2">
      <c r="A6" s="47"/>
      <c r="B6" s="47"/>
      <c r="C6" s="47"/>
      <c r="D6" s="47"/>
      <c r="E6" s="47"/>
      <c r="F6" s="50"/>
      <c r="G6" s="50"/>
      <c r="H6" s="56"/>
      <c r="I6" s="47"/>
      <c r="J6" s="56"/>
      <c r="K6" s="48" t="str">
        <f t="shared" ref="K6:K35" ca="1" si="0">IF(A6="","",IF(C6="","Vacant",IF(G6="","Month to month",IF(G6&lt;TODAY(),"Lease ended",IF(G6-TODAY()&lt;=60,"Ends in "&amp;(G6-TODAY())&amp;" days","Active")))))</f>
        <v/>
      </c>
      <c r="L6" s="47"/>
      <c r="M6" s="52" t="str">
        <f>IF(A6="","",SUMIFS('Rent Log'!$L$7:$L$506,'Rent Log'!$B$7:$B$506,A6))</f>
        <v/>
      </c>
    </row>
    <row r="7" spans="1:13" ht="16" x14ac:dyDescent="0.2">
      <c r="A7" s="47"/>
      <c r="B7" s="47"/>
      <c r="C7" s="47"/>
      <c r="D7" s="47"/>
      <c r="E7" s="47"/>
      <c r="F7" s="50"/>
      <c r="G7" s="50"/>
      <c r="H7" s="56"/>
      <c r="I7" s="47"/>
      <c r="J7" s="56"/>
      <c r="K7" s="48" t="str">
        <f t="shared" ca="1" si="0"/>
        <v/>
      </c>
      <c r="L7" s="47"/>
      <c r="M7" s="52" t="str">
        <f>IF(A7="","",SUMIFS('Rent Log'!$L$7:$L$506,'Rent Log'!$B$7:$B$506,A7))</f>
        <v/>
      </c>
    </row>
    <row r="8" spans="1:13" ht="16" x14ac:dyDescent="0.2">
      <c r="A8" s="47"/>
      <c r="B8" s="47"/>
      <c r="C8" s="47"/>
      <c r="D8" s="47"/>
      <c r="E8" s="47"/>
      <c r="F8" s="50"/>
      <c r="G8" s="50"/>
      <c r="H8" s="56"/>
      <c r="I8" s="47"/>
      <c r="J8" s="56"/>
      <c r="K8" s="48" t="str">
        <f t="shared" ca="1" si="0"/>
        <v/>
      </c>
      <c r="L8" s="47"/>
      <c r="M8" s="52" t="str">
        <f>IF(A8="","",SUMIFS('Rent Log'!$L$7:$L$506,'Rent Log'!$B$7:$B$506,A8))</f>
        <v/>
      </c>
    </row>
    <row r="9" spans="1:13" ht="16" x14ac:dyDescent="0.2">
      <c r="A9" s="47"/>
      <c r="B9" s="47"/>
      <c r="C9" s="47"/>
      <c r="D9" s="47"/>
      <c r="E9" s="47"/>
      <c r="F9" s="50"/>
      <c r="G9" s="50"/>
      <c r="H9" s="56"/>
      <c r="I9" s="47"/>
      <c r="J9" s="56"/>
      <c r="K9" s="48" t="str">
        <f t="shared" ca="1" si="0"/>
        <v/>
      </c>
      <c r="L9" s="47"/>
      <c r="M9" s="52" t="str">
        <f>IF(A9="","",SUMIFS('Rent Log'!$L$7:$L$506,'Rent Log'!$B$7:$B$506,A9))</f>
        <v/>
      </c>
    </row>
    <row r="10" spans="1:13" ht="16" x14ac:dyDescent="0.2">
      <c r="A10" s="47"/>
      <c r="B10" s="47"/>
      <c r="C10" s="47"/>
      <c r="D10" s="47"/>
      <c r="E10" s="47"/>
      <c r="F10" s="50"/>
      <c r="G10" s="50"/>
      <c r="H10" s="56"/>
      <c r="I10" s="47"/>
      <c r="J10" s="56"/>
      <c r="K10" s="48" t="str">
        <f t="shared" ca="1" si="0"/>
        <v/>
      </c>
      <c r="L10" s="47"/>
      <c r="M10" s="52" t="str">
        <f>IF(A10="","",SUMIFS('Rent Log'!$L$7:$L$506,'Rent Log'!$B$7:$B$506,A10))</f>
        <v/>
      </c>
    </row>
    <row r="11" spans="1:13" ht="16" x14ac:dyDescent="0.2">
      <c r="A11" s="47"/>
      <c r="B11" s="47"/>
      <c r="C11" s="47"/>
      <c r="D11" s="47"/>
      <c r="E11" s="47"/>
      <c r="F11" s="50"/>
      <c r="G11" s="50"/>
      <c r="H11" s="56"/>
      <c r="I11" s="47"/>
      <c r="J11" s="56"/>
      <c r="K11" s="48" t="str">
        <f t="shared" ca="1" si="0"/>
        <v/>
      </c>
      <c r="L11" s="47"/>
      <c r="M11" s="52" t="str">
        <f>IF(A11="","",SUMIFS('Rent Log'!$L$7:$L$506,'Rent Log'!$B$7:$B$506,A11))</f>
        <v/>
      </c>
    </row>
    <row r="12" spans="1:13" ht="16" x14ac:dyDescent="0.2">
      <c r="A12" s="47"/>
      <c r="B12" s="47"/>
      <c r="C12" s="47"/>
      <c r="D12" s="47"/>
      <c r="E12" s="47"/>
      <c r="F12" s="50"/>
      <c r="G12" s="50"/>
      <c r="H12" s="56"/>
      <c r="I12" s="47"/>
      <c r="J12" s="56"/>
      <c r="K12" s="48" t="str">
        <f t="shared" ca="1" si="0"/>
        <v/>
      </c>
      <c r="L12" s="47"/>
      <c r="M12" s="52" t="str">
        <f>IF(A12="","",SUMIFS('Rent Log'!$L$7:$L$506,'Rent Log'!$B$7:$B$506,A12))</f>
        <v/>
      </c>
    </row>
    <row r="13" spans="1:13" ht="16" x14ac:dyDescent="0.2">
      <c r="A13" s="47"/>
      <c r="B13" s="47"/>
      <c r="C13" s="47"/>
      <c r="D13" s="47"/>
      <c r="E13" s="47"/>
      <c r="F13" s="50"/>
      <c r="G13" s="50"/>
      <c r="H13" s="56"/>
      <c r="I13" s="47"/>
      <c r="J13" s="56"/>
      <c r="K13" s="48" t="str">
        <f t="shared" ca="1" si="0"/>
        <v/>
      </c>
      <c r="L13" s="47"/>
      <c r="M13" s="52" t="str">
        <f>IF(A13="","",SUMIFS('Rent Log'!$L$7:$L$506,'Rent Log'!$B$7:$B$506,A13))</f>
        <v/>
      </c>
    </row>
    <row r="14" spans="1:13" ht="16" x14ac:dyDescent="0.2">
      <c r="A14" s="47"/>
      <c r="B14" s="47"/>
      <c r="C14" s="47"/>
      <c r="D14" s="47"/>
      <c r="E14" s="47"/>
      <c r="F14" s="50"/>
      <c r="G14" s="50"/>
      <c r="H14" s="56"/>
      <c r="I14" s="47"/>
      <c r="J14" s="56"/>
      <c r="K14" s="48" t="str">
        <f t="shared" ca="1" si="0"/>
        <v/>
      </c>
      <c r="L14" s="47"/>
      <c r="M14" s="52" t="str">
        <f>IF(A14="","",SUMIFS('Rent Log'!$L$7:$L$506,'Rent Log'!$B$7:$B$506,A14))</f>
        <v/>
      </c>
    </row>
    <row r="15" spans="1:13" ht="16" x14ac:dyDescent="0.2">
      <c r="A15" s="47"/>
      <c r="B15" s="47"/>
      <c r="C15" s="47"/>
      <c r="D15" s="47"/>
      <c r="E15" s="47"/>
      <c r="F15" s="50"/>
      <c r="G15" s="50"/>
      <c r="H15" s="56"/>
      <c r="I15" s="47"/>
      <c r="J15" s="56"/>
      <c r="K15" s="48" t="str">
        <f t="shared" ca="1" si="0"/>
        <v/>
      </c>
      <c r="L15" s="47"/>
      <c r="M15" s="52" t="str">
        <f>IF(A15="","",SUMIFS('Rent Log'!$L$7:$L$506,'Rent Log'!$B$7:$B$506,A15))</f>
        <v/>
      </c>
    </row>
    <row r="16" spans="1:13" ht="16" x14ac:dyDescent="0.2">
      <c r="A16" s="47"/>
      <c r="B16" s="47"/>
      <c r="C16" s="47"/>
      <c r="D16" s="47"/>
      <c r="E16" s="47"/>
      <c r="F16" s="50"/>
      <c r="G16" s="50"/>
      <c r="H16" s="56"/>
      <c r="I16" s="47"/>
      <c r="J16" s="56"/>
      <c r="K16" s="48" t="str">
        <f t="shared" ca="1" si="0"/>
        <v/>
      </c>
      <c r="L16" s="47"/>
      <c r="M16" s="52" t="str">
        <f>IF(A16="","",SUMIFS('Rent Log'!$L$7:$L$506,'Rent Log'!$B$7:$B$506,A16))</f>
        <v/>
      </c>
    </row>
    <row r="17" spans="1:13" ht="16" x14ac:dyDescent="0.2">
      <c r="A17" s="47"/>
      <c r="B17" s="47"/>
      <c r="C17" s="47"/>
      <c r="D17" s="47"/>
      <c r="E17" s="47"/>
      <c r="F17" s="50"/>
      <c r="G17" s="50"/>
      <c r="H17" s="56"/>
      <c r="I17" s="47"/>
      <c r="J17" s="56"/>
      <c r="K17" s="48" t="str">
        <f t="shared" ca="1" si="0"/>
        <v/>
      </c>
      <c r="L17" s="47"/>
      <c r="M17" s="52" t="str">
        <f>IF(A17="","",SUMIFS('Rent Log'!$L$7:$L$506,'Rent Log'!$B$7:$B$506,A17))</f>
        <v/>
      </c>
    </row>
    <row r="18" spans="1:13" ht="16" x14ac:dyDescent="0.2">
      <c r="A18" s="47"/>
      <c r="B18" s="47"/>
      <c r="C18" s="47"/>
      <c r="D18" s="47"/>
      <c r="E18" s="47"/>
      <c r="F18" s="50"/>
      <c r="G18" s="50"/>
      <c r="H18" s="56"/>
      <c r="I18" s="47"/>
      <c r="J18" s="56"/>
      <c r="K18" s="48" t="str">
        <f t="shared" ca="1" si="0"/>
        <v/>
      </c>
      <c r="L18" s="47"/>
      <c r="M18" s="52" t="str">
        <f>IF(A18="","",SUMIFS('Rent Log'!$L$7:$L$506,'Rent Log'!$B$7:$B$506,A18))</f>
        <v/>
      </c>
    </row>
    <row r="19" spans="1:13" ht="16" x14ac:dyDescent="0.2">
      <c r="A19" s="47"/>
      <c r="B19" s="47"/>
      <c r="C19" s="47"/>
      <c r="D19" s="47"/>
      <c r="E19" s="47"/>
      <c r="F19" s="50"/>
      <c r="G19" s="50"/>
      <c r="H19" s="56"/>
      <c r="I19" s="47"/>
      <c r="J19" s="56"/>
      <c r="K19" s="48" t="str">
        <f t="shared" ca="1" si="0"/>
        <v/>
      </c>
      <c r="L19" s="47"/>
      <c r="M19" s="52" t="str">
        <f>IF(A19="","",SUMIFS('Rent Log'!$L$7:$L$506,'Rent Log'!$B$7:$B$506,A19))</f>
        <v/>
      </c>
    </row>
    <row r="20" spans="1:13" ht="16" x14ac:dyDescent="0.2">
      <c r="A20" s="47"/>
      <c r="B20" s="47"/>
      <c r="C20" s="47"/>
      <c r="D20" s="47"/>
      <c r="E20" s="47"/>
      <c r="F20" s="50"/>
      <c r="G20" s="50"/>
      <c r="H20" s="56"/>
      <c r="I20" s="47"/>
      <c r="J20" s="56"/>
      <c r="K20" s="48" t="str">
        <f t="shared" ca="1" si="0"/>
        <v/>
      </c>
      <c r="L20" s="47"/>
      <c r="M20" s="52" t="str">
        <f>IF(A20="","",SUMIFS('Rent Log'!$L$7:$L$506,'Rent Log'!$B$7:$B$506,A20))</f>
        <v/>
      </c>
    </row>
    <row r="21" spans="1:13" ht="16" x14ac:dyDescent="0.2">
      <c r="A21" s="47"/>
      <c r="B21" s="47"/>
      <c r="C21" s="47"/>
      <c r="D21" s="47"/>
      <c r="E21" s="47"/>
      <c r="F21" s="50"/>
      <c r="G21" s="50"/>
      <c r="H21" s="56"/>
      <c r="I21" s="47"/>
      <c r="J21" s="56"/>
      <c r="K21" s="48" t="str">
        <f t="shared" ca="1" si="0"/>
        <v/>
      </c>
      <c r="L21" s="47"/>
      <c r="M21" s="52" t="str">
        <f>IF(A21="","",SUMIFS('Rent Log'!$L$7:$L$506,'Rent Log'!$B$7:$B$506,A21))</f>
        <v/>
      </c>
    </row>
    <row r="22" spans="1:13" ht="16" x14ac:dyDescent="0.2">
      <c r="A22" s="47"/>
      <c r="B22" s="47"/>
      <c r="C22" s="47"/>
      <c r="D22" s="47"/>
      <c r="E22" s="47"/>
      <c r="F22" s="50"/>
      <c r="G22" s="50"/>
      <c r="H22" s="56"/>
      <c r="I22" s="47"/>
      <c r="J22" s="56"/>
      <c r="K22" s="48" t="str">
        <f t="shared" ca="1" si="0"/>
        <v/>
      </c>
      <c r="L22" s="47"/>
      <c r="M22" s="52" t="str">
        <f>IF(A22="","",SUMIFS('Rent Log'!$L$7:$L$506,'Rent Log'!$B$7:$B$506,A22))</f>
        <v/>
      </c>
    </row>
    <row r="23" spans="1:13" ht="16" x14ac:dyDescent="0.2">
      <c r="A23" s="47"/>
      <c r="B23" s="47"/>
      <c r="C23" s="47"/>
      <c r="D23" s="47"/>
      <c r="E23" s="47"/>
      <c r="F23" s="50"/>
      <c r="G23" s="50"/>
      <c r="H23" s="56"/>
      <c r="I23" s="47"/>
      <c r="J23" s="56"/>
      <c r="K23" s="48" t="str">
        <f t="shared" ca="1" si="0"/>
        <v/>
      </c>
      <c r="L23" s="47"/>
      <c r="M23" s="52" t="str">
        <f>IF(A23="","",SUMIFS('Rent Log'!$L$7:$L$506,'Rent Log'!$B$7:$B$506,A23))</f>
        <v/>
      </c>
    </row>
    <row r="24" spans="1:13" ht="16" x14ac:dyDescent="0.2">
      <c r="A24" s="47"/>
      <c r="B24" s="47"/>
      <c r="C24" s="47"/>
      <c r="D24" s="47"/>
      <c r="E24" s="47"/>
      <c r="F24" s="50"/>
      <c r="G24" s="50"/>
      <c r="H24" s="56"/>
      <c r="I24" s="47"/>
      <c r="J24" s="56"/>
      <c r="K24" s="48" t="str">
        <f t="shared" ca="1" si="0"/>
        <v/>
      </c>
      <c r="L24" s="47"/>
      <c r="M24" s="52" t="str">
        <f>IF(A24="","",SUMIFS('Rent Log'!$L$7:$L$506,'Rent Log'!$B$7:$B$506,A24))</f>
        <v/>
      </c>
    </row>
    <row r="25" spans="1:13" ht="16" x14ac:dyDescent="0.2">
      <c r="A25" s="47"/>
      <c r="B25" s="47"/>
      <c r="C25" s="47"/>
      <c r="D25" s="47"/>
      <c r="E25" s="47"/>
      <c r="F25" s="50"/>
      <c r="G25" s="50"/>
      <c r="H25" s="56"/>
      <c r="I25" s="47"/>
      <c r="J25" s="56"/>
      <c r="K25" s="48" t="str">
        <f t="shared" ca="1" si="0"/>
        <v/>
      </c>
      <c r="L25" s="47"/>
      <c r="M25" s="52" t="str">
        <f>IF(A25="","",SUMIFS('Rent Log'!$L$7:$L$506,'Rent Log'!$B$7:$B$506,A25))</f>
        <v/>
      </c>
    </row>
    <row r="26" spans="1:13" ht="16" x14ac:dyDescent="0.2">
      <c r="A26" s="47"/>
      <c r="B26" s="47"/>
      <c r="C26" s="47"/>
      <c r="D26" s="47"/>
      <c r="E26" s="47"/>
      <c r="F26" s="50"/>
      <c r="G26" s="50"/>
      <c r="H26" s="56"/>
      <c r="I26" s="47"/>
      <c r="J26" s="56"/>
      <c r="K26" s="48" t="str">
        <f t="shared" ca="1" si="0"/>
        <v/>
      </c>
      <c r="L26" s="47"/>
      <c r="M26" s="52" t="str">
        <f>IF(A26="","",SUMIFS('Rent Log'!$L$7:$L$506,'Rent Log'!$B$7:$B$506,A26))</f>
        <v/>
      </c>
    </row>
    <row r="27" spans="1:13" ht="16" x14ac:dyDescent="0.2">
      <c r="A27" s="47"/>
      <c r="B27" s="47"/>
      <c r="C27" s="47"/>
      <c r="D27" s="47"/>
      <c r="E27" s="47"/>
      <c r="F27" s="50"/>
      <c r="G27" s="50"/>
      <c r="H27" s="56"/>
      <c r="I27" s="47"/>
      <c r="J27" s="56"/>
      <c r="K27" s="48" t="str">
        <f t="shared" ca="1" si="0"/>
        <v/>
      </c>
      <c r="L27" s="47"/>
      <c r="M27" s="52" t="str">
        <f>IF(A27="","",SUMIFS('Rent Log'!$L$7:$L$506,'Rent Log'!$B$7:$B$506,A27))</f>
        <v/>
      </c>
    </row>
    <row r="28" spans="1:13" ht="16" x14ac:dyDescent="0.2">
      <c r="A28" s="47"/>
      <c r="B28" s="47"/>
      <c r="C28" s="47"/>
      <c r="D28" s="47"/>
      <c r="E28" s="47"/>
      <c r="F28" s="50"/>
      <c r="G28" s="50"/>
      <c r="H28" s="56"/>
      <c r="I28" s="47"/>
      <c r="J28" s="56"/>
      <c r="K28" s="48" t="str">
        <f t="shared" ca="1" si="0"/>
        <v/>
      </c>
      <c r="L28" s="47"/>
      <c r="M28" s="52" t="str">
        <f>IF(A28="","",SUMIFS('Rent Log'!$L$7:$L$506,'Rent Log'!$B$7:$B$506,A28))</f>
        <v/>
      </c>
    </row>
    <row r="29" spans="1:13" ht="16" x14ac:dyDescent="0.2">
      <c r="A29" s="47"/>
      <c r="B29" s="47"/>
      <c r="C29" s="47"/>
      <c r="D29" s="47"/>
      <c r="E29" s="47"/>
      <c r="F29" s="50"/>
      <c r="G29" s="50"/>
      <c r="H29" s="56"/>
      <c r="I29" s="47"/>
      <c r="J29" s="56"/>
      <c r="K29" s="48" t="str">
        <f t="shared" ca="1" si="0"/>
        <v/>
      </c>
      <c r="L29" s="47"/>
      <c r="M29" s="52" t="str">
        <f>IF(A29="","",SUMIFS('Rent Log'!$L$7:$L$506,'Rent Log'!$B$7:$B$506,A29))</f>
        <v/>
      </c>
    </row>
    <row r="30" spans="1:13" ht="16" x14ac:dyDescent="0.2">
      <c r="A30" s="47"/>
      <c r="B30" s="47"/>
      <c r="C30" s="47"/>
      <c r="D30" s="47"/>
      <c r="E30" s="47"/>
      <c r="F30" s="50"/>
      <c r="G30" s="50"/>
      <c r="H30" s="56"/>
      <c r="I30" s="47"/>
      <c r="J30" s="56"/>
      <c r="K30" s="48" t="str">
        <f t="shared" ca="1" si="0"/>
        <v/>
      </c>
      <c r="L30" s="47"/>
      <c r="M30" s="52" t="str">
        <f>IF(A30="","",SUMIFS('Rent Log'!$L$7:$L$506,'Rent Log'!$B$7:$B$506,A30))</f>
        <v/>
      </c>
    </row>
    <row r="31" spans="1:13" ht="16" x14ac:dyDescent="0.2">
      <c r="A31" s="47"/>
      <c r="B31" s="47"/>
      <c r="C31" s="47"/>
      <c r="D31" s="47"/>
      <c r="E31" s="47"/>
      <c r="F31" s="50"/>
      <c r="G31" s="50"/>
      <c r="H31" s="56"/>
      <c r="I31" s="47"/>
      <c r="J31" s="56"/>
      <c r="K31" s="48" t="str">
        <f t="shared" ca="1" si="0"/>
        <v/>
      </c>
      <c r="L31" s="47"/>
      <c r="M31" s="52" t="str">
        <f>IF(A31="","",SUMIFS('Rent Log'!$L$7:$L$506,'Rent Log'!$B$7:$B$506,A31))</f>
        <v/>
      </c>
    </row>
    <row r="32" spans="1:13" ht="16" x14ac:dyDescent="0.2">
      <c r="A32" s="47"/>
      <c r="B32" s="47"/>
      <c r="C32" s="47"/>
      <c r="D32" s="47"/>
      <c r="E32" s="47"/>
      <c r="F32" s="50"/>
      <c r="G32" s="50"/>
      <c r="H32" s="56"/>
      <c r="I32" s="47"/>
      <c r="J32" s="56"/>
      <c r="K32" s="48" t="str">
        <f t="shared" ca="1" si="0"/>
        <v/>
      </c>
      <c r="L32" s="47"/>
      <c r="M32" s="52" t="str">
        <f>IF(A32="","",SUMIFS('Rent Log'!$L$7:$L$506,'Rent Log'!$B$7:$B$506,A32))</f>
        <v/>
      </c>
    </row>
    <row r="33" spans="1:13" ht="16" x14ac:dyDescent="0.2">
      <c r="A33" s="47"/>
      <c r="B33" s="47"/>
      <c r="C33" s="47"/>
      <c r="D33" s="47"/>
      <c r="E33" s="47"/>
      <c r="F33" s="50"/>
      <c r="G33" s="50"/>
      <c r="H33" s="56"/>
      <c r="I33" s="47"/>
      <c r="J33" s="56"/>
      <c r="K33" s="48" t="str">
        <f t="shared" ca="1" si="0"/>
        <v/>
      </c>
      <c r="L33" s="47"/>
      <c r="M33" s="52" t="str">
        <f>IF(A33="","",SUMIFS('Rent Log'!$L$7:$L$506,'Rent Log'!$B$7:$B$506,A33))</f>
        <v/>
      </c>
    </row>
    <row r="34" spans="1:13" ht="16" x14ac:dyDescent="0.2">
      <c r="A34" s="47"/>
      <c r="B34" s="47"/>
      <c r="C34" s="47"/>
      <c r="D34" s="47"/>
      <c r="E34" s="47"/>
      <c r="F34" s="50"/>
      <c r="G34" s="50"/>
      <c r="H34" s="56"/>
      <c r="I34" s="47"/>
      <c r="J34" s="56"/>
      <c r="K34" s="48" t="str">
        <f t="shared" ca="1" si="0"/>
        <v/>
      </c>
      <c r="L34" s="47"/>
      <c r="M34" s="52" t="str">
        <f>IF(A34="","",SUMIFS('Rent Log'!$L$7:$L$506,'Rent Log'!$B$7:$B$506,A34))</f>
        <v/>
      </c>
    </row>
    <row r="35" spans="1:13" ht="16" x14ac:dyDescent="0.2">
      <c r="A35" s="47"/>
      <c r="B35" s="47"/>
      <c r="C35" s="47"/>
      <c r="D35" s="47"/>
      <c r="E35" s="47"/>
      <c r="F35" s="50"/>
      <c r="G35" s="50"/>
      <c r="H35" s="56"/>
      <c r="I35" s="47"/>
      <c r="J35" s="56"/>
      <c r="K35" s="48" t="str">
        <f t="shared" ca="1" si="0"/>
        <v/>
      </c>
      <c r="L35" s="47"/>
      <c r="M35" s="52" t="str">
        <f>IF(A35="","",SUMIFS('Rent Log'!$L$7:$L$506,'Rent Log'!$B$7:$B$506,A35))</f>
        <v/>
      </c>
    </row>
  </sheetData>
  <conditionalFormatting sqref="K6:K35">
    <cfRule type="expression" dxfId="17" priority="3">
      <formula>LEFT($K6,4)="Ends"</formula>
    </cfRule>
    <cfRule type="expression" dxfId="16" priority="4">
      <formula>$K6="Lease ended"</formula>
    </cfRule>
  </conditionalFormatting>
  <conditionalFormatting sqref="M6:M35">
    <cfRule type="cellIs" dxfId="15" priority="2" operator="greaterThan">
      <formula>0</formula>
    </cfRule>
  </conditionalFormatting>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1">
        <x14:dataValidation type="list" allowBlank="1" showErrorMessage="1" errorTitle="Pick from the list" error="Please choose a value from the dropdown." xr:uid="{00000000-0002-0000-0400-000000000000}">
          <x14:formula1>
            <xm:f>Properties!$A$6:$A$15</xm:f>
          </x14:formula1>
          <x14:formula2>
            <xm:f>0</xm:f>
          </x14:formula2>
          <xm:sqref>B6:B35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506"/>
  <sheetViews>
    <sheetView showGridLines="0" zoomScaleNormal="100" workbookViewId="0">
      <pane xSplit="2" ySplit="6" topLeftCell="C7" activePane="bottomRight" state="frozen"/>
      <selection pane="topRight" activeCell="C1" sqref="C1"/>
      <selection pane="bottomLeft" activeCell="A7" sqref="A7"/>
      <selection pane="bottomRight"/>
    </sheetView>
  </sheetViews>
  <sheetFormatPr baseColWidth="10" defaultColWidth="8.6640625" defaultRowHeight="15" x14ac:dyDescent="0.2"/>
  <cols>
    <col min="1" max="1" width="12.6640625" customWidth="1"/>
    <col min="2" max="2" width="22" customWidth="1"/>
    <col min="3" max="4" width="19" customWidth="1"/>
    <col min="5" max="5" width="12.6640625" customWidth="1"/>
    <col min="6" max="6" width="11.5" customWidth="1"/>
    <col min="7" max="8" width="12.6640625" customWidth="1"/>
    <col min="9" max="9" width="22" customWidth="1"/>
    <col min="10" max="10" width="9.1640625" customWidth="1"/>
    <col min="11" max="12" width="12.6640625" customWidth="1"/>
    <col min="13" max="13" width="16" customWidth="1"/>
    <col min="14" max="14" width="9.1640625" hidden="1" customWidth="1"/>
    <col min="15" max="15" width="6.83203125" hidden="1" customWidth="1"/>
    <col min="16" max="16" width="12.83203125" hidden="1" customWidth="1"/>
    <col min="17" max="17" width="11.5" hidden="1" customWidth="1"/>
    <col min="18" max="18" width="9.1640625" hidden="1" customWidth="1"/>
    <col min="19" max="19" width="8.6640625" collapsed="1"/>
  </cols>
  <sheetData>
    <row r="1" spans="1:18" ht="30" customHeight="1" x14ac:dyDescent="0.25">
      <c r="A1" s="21" t="s">
        <v>20</v>
      </c>
    </row>
    <row r="2" spans="1:18" ht="16" x14ac:dyDescent="0.2">
      <c r="A2" s="22" t="s">
        <v>148</v>
      </c>
    </row>
    <row r="3" spans="1:18" x14ac:dyDescent="0.2">
      <c r="A3" s="23" t="s">
        <v>1</v>
      </c>
    </row>
    <row r="4" spans="1:18" x14ac:dyDescent="0.2">
      <c r="A4" s="25" t="s">
        <v>149</v>
      </c>
    </row>
    <row r="5" spans="1:18" x14ac:dyDescent="0.2">
      <c r="A5" s="25" t="s">
        <v>150</v>
      </c>
    </row>
    <row r="6" spans="1:18" ht="48" customHeight="1" x14ac:dyDescent="0.2">
      <c r="A6" s="27" t="s">
        <v>151</v>
      </c>
      <c r="B6" s="27" t="s">
        <v>152</v>
      </c>
      <c r="C6" s="46" t="s">
        <v>61</v>
      </c>
      <c r="D6" s="46" t="s">
        <v>153</v>
      </c>
      <c r="E6" s="27" t="s">
        <v>154</v>
      </c>
      <c r="F6" s="27" t="s">
        <v>155</v>
      </c>
      <c r="G6" s="27" t="s">
        <v>156</v>
      </c>
      <c r="H6" s="27" t="s">
        <v>157</v>
      </c>
      <c r="I6" s="27" t="s">
        <v>158</v>
      </c>
      <c r="J6" s="27" t="s">
        <v>159</v>
      </c>
      <c r="K6" s="46" t="s">
        <v>160</v>
      </c>
      <c r="L6" s="46" t="s">
        <v>161</v>
      </c>
      <c r="M6" s="27" t="s">
        <v>108</v>
      </c>
      <c r="N6" s="46" t="s">
        <v>162</v>
      </c>
      <c r="O6" s="46" t="s">
        <v>163</v>
      </c>
      <c r="P6" s="46" t="s">
        <v>164</v>
      </c>
      <c r="Q6" s="46" t="s">
        <v>165</v>
      </c>
      <c r="R6" s="46" t="s">
        <v>166</v>
      </c>
    </row>
    <row r="7" spans="1:18" ht="16" x14ac:dyDescent="0.2">
      <c r="A7" s="50"/>
      <c r="B7" s="47"/>
      <c r="C7" s="48" t="str">
        <f>IF(B7="","",IFERROR(INDEX(Tenants!$B$6:$B$35,MATCH(B7,Tenants!$A$6:$A$35,0)),"Unit not found"))</f>
        <v/>
      </c>
      <c r="D7" s="48" t="str">
        <f>IF(B7="","",IF(J7="Y","(vacant)",IFERROR(INDEX(Tenants!$C$6:$C$35,MATCH(B7,Tenants!$A$6:$A$35,0)),"")))</f>
        <v/>
      </c>
      <c r="E7" s="56"/>
      <c r="F7" s="56"/>
      <c r="G7" s="56"/>
      <c r="H7" s="50"/>
      <c r="I7" s="47"/>
      <c r="J7" s="47"/>
      <c r="K7" s="48" t="str">
        <f ca="1">IF(B7="","",IF(UPPER(J7)="Y","Vacant",IF(AND(G7&gt;0,G7&gt;=E7+F7),IF(AND(H7&lt;&gt;"",A7&lt;&gt;"",H7&gt;A7+Settings!$C$7),"Paid late","Paid"),IF(G7&gt;0,"Partial",IF(AND(A7&lt;&gt;"",TODAY()&gt;A7+Settings!$C$7),"Unpaid","Due")))))</f>
        <v/>
      </c>
      <c r="L7" s="52" t="str">
        <f t="shared" ref="L7:L70" si="0">IF(OR(B7="",UPPER(J7)="Y"),"",E7+F7-G7)</f>
        <v/>
      </c>
      <c r="M7" s="47"/>
      <c r="N7" s="48" t="str">
        <f t="shared" ref="N7:N70" si="1">IF(OR(B7="",G7=0,G7=""),"",YEAR(IF(H7="",A7,H7)))</f>
        <v/>
      </c>
      <c r="O7" s="48" t="str">
        <f>IF(B7="","",COUNTIF($B$7:B7,B7))</f>
        <v/>
      </c>
      <c r="P7" s="48" t="str">
        <f t="shared" ref="P7:P70" si="2">IF(B7="","",B7&amp;"|"&amp;O7)</f>
        <v/>
      </c>
      <c r="Q7" s="48" t="str">
        <f t="shared" ref="Q7:Q70" si="3">IF(OR(B7="",G7=0,G7=""),"",YEAR(IF(H7="",A7,H7))*100+MONTH(IF(H7="",A7,H7)))</f>
        <v/>
      </c>
      <c r="R7" s="48" t="str">
        <f t="shared" ref="R7:R70" si="4">IF(OR(B7="",A7=""),"",YEAR(A7))</f>
        <v/>
      </c>
    </row>
    <row r="8" spans="1:18" ht="16" x14ac:dyDescent="0.2">
      <c r="A8" s="50"/>
      <c r="B8" s="47"/>
      <c r="C8" s="48" t="str">
        <f>IF(B8="","",IFERROR(INDEX(Tenants!$B$6:$B$35,MATCH(B8,Tenants!$A$6:$A$35,0)),"Unit not found"))</f>
        <v/>
      </c>
      <c r="D8" s="48" t="str">
        <f>IF(B8="","",IF(J8="Y","(vacant)",IFERROR(INDEX(Tenants!$C$6:$C$35,MATCH(B8,Tenants!$A$6:$A$35,0)),"")))</f>
        <v/>
      </c>
      <c r="E8" s="56"/>
      <c r="F8" s="56"/>
      <c r="G8" s="56"/>
      <c r="H8" s="50"/>
      <c r="I8" s="47"/>
      <c r="J8" s="47"/>
      <c r="K8" s="48" t="str">
        <f ca="1">IF(B8="","",IF(UPPER(J8)="Y","Vacant",IF(AND(G8&gt;0,G8&gt;=E8+F8),IF(AND(H8&lt;&gt;"",A8&lt;&gt;"",H8&gt;A8+Settings!$C$7),"Paid late","Paid"),IF(G8&gt;0,"Partial",IF(AND(A8&lt;&gt;"",TODAY()&gt;A8+Settings!$C$7),"Unpaid","Due")))))</f>
        <v/>
      </c>
      <c r="L8" s="52" t="str">
        <f t="shared" si="0"/>
        <v/>
      </c>
      <c r="M8" s="47"/>
      <c r="N8" s="48" t="str">
        <f t="shared" si="1"/>
        <v/>
      </c>
      <c r="O8" s="48" t="str">
        <f>IF(B8="","",COUNTIF($B$7:B8,B8))</f>
        <v/>
      </c>
      <c r="P8" s="48" t="str">
        <f t="shared" si="2"/>
        <v/>
      </c>
      <c r="Q8" s="48" t="str">
        <f t="shared" si="3"/>
        <v/>
      </c>
      <c r="R8" s="48" t="str">
        <f t="shared" si="4"/>
        <v/>
      </c>
    </row>
    <row r="9" spans="1:18" ht="16" x14ac:dyDescent="0.2">
      <c r="A9" s="50"/>
      <c r="B9" s="47"/>
      <c r="C9" s="48" t="str">
        <f>IF(B9="","",IFERROR(INDEX(Tenants!$B$6:$B$35,MATCH(B9,Tenants!$A$6:$A$35,0)),"Unit not found"))</f>
        <v/>
      </c>
      <c r="D9" s="48" t="str">
        <f>IF(B9="","",IF(J9="Y","(vacant)",IFERROR(INDEX(Tenants!$C$6:$C$35,MATCH(B9,Tenants!$A$6:$A$35,0)),"")))</f>
        <v/>
      </c>
      <c r="E9" s="56"/>
      <c r="F9" s="56"/>
      <c r="G9" s="56"/>
      <c r="H9" s="50"/>
      <c r="I9" s="47"/>
      <c r="J9" s="47"/>
      <c r="K9" s="48" t="str">
        <f ca="1">IF(B9="","",IF(UPPER(J9)="Y","Vacant",IF(AND(G9&gt;0,G9&gt;=E9+F9),IF(AND(H9&lt;&gt;"",A9&lt;&gt;"",H9&gt;A9+Settings!$C$7),"Paid late","Paid"),IF(G9&gt;0,"Partial",IF(AND(A9&lt;&gt;"",TODAY()&gt;A9+Settings!$C$7),"Unpaid","Due")))))</f>
        <v/>
      </c>
      <c r="L9" s="52" t="str">
        <f t="shared" si="0"/>
        <v/>
      </c>
      <c r="M9" s="47"/>
      <c r="N9" s="48" t="str">
        <f t="shared" si="1"/>
        <v/>
      </c>
      <c r="O9" s="48" t="str">
        <f>IF(B9="","",COUNTIF($B$7:B9,B9))</f>
        <v/>
      </c>
      <c r="P9" s="48" t="str">
        <f t="shared" si="2"/>
        <v/>
      </c>
      <c r="Q9" s="48" t="str">
        <f t="shared" si="3"/>
        <v/>
      </c>
      <c r="R9" s="48" t="str">
        <f t="shared" si="4"/>
        <v/>
      </c>
    </row>
    <row r="10" spans="1:18" ht="16" x14ac:dyDescent="0.2">
      <c r="A10" s="50"/>
      <c r="B10" s="47"/>
      <c r="C10" s="48" t="str">
        <f>IF(B10="","",IFERROR(INDEX(Tenants!$B$6:$B$35,MATCH(B10,Tenants!$A$6:$A$35,0)),"Unit not found"))</f>
        <v/>
      </c>
      <c r="D10" s="48" t="str">
        <f>IF(B10="","",IF(J10="Y","(vacant)",IFERROR(INDEX(Tenants!$C$6:$C$35,MATCH(B10,Tenants!$A$6:$A$35,0)),"")))</f>
        <v/>
      </c>
      <c r="E10" s="56"/>
      <c r="F10" s="56"/>
      <c r="G10" s="56"/>
      <c r="H10" s="50"/>
      <c r="I10" s="47"/>
      <c r="J10" s="47"/>
      <c r="K10" s="48" t="str">
        <f ca="1">IF(B10="","",IF(UPPER(J10)="Y","Vacant",IF(AND(G10&gt;0,G10&gt;=E10+F10),IF(AND(H10&lt;&gt;"",A10&lt;&gt;"",H10&gt;A10+Settings!$C$7),"Paid late","Paid"),IF(G10&gt;0,"Partial",IF(AND(A10&lt;&gt;"",TODAY()&gt;A10+Settings!$C$7),"Unpaid","Due")))))</f>
        <v/>
      </c>
      <c r="L10" s="52" t="str">
        <f t="shared" si="0"/>
        <v/>
      </c>
      <c r="M10" s="47"/>
      <c r="N10" s="48" t="str">
        <f t="shared" si="1"/>
        <v/>
      </c>
      <c r="O10" s="48" t="str">
        <f>IF(B10="","",COUNTIF($B$7:B10,B10))</f>
        <v/>
      </c>
      <c r="P10" s="48" t="str">
        <f t="shared" si="2"/>
        <v/>
      </c>
      <c r="Q10" s="48" t="str">
        <f t="shared" si="3"/>
        <v/>
      </c>
      <c r="R10" s="48" t="str">
        <f t="shared" si="4"/>
        <v/>
      </c>
    </row>
    <row r="11" spans="1:18" ht="16" x14ac:dyDescent="0.2">
      <c r="A11" s="50"/>
      <c r="B11" s="47"/>
      <c r="C11" s="48" t="str">
        <f>IF(B11="","",IFERROR(INDEX(Tenants!$B$6:$B$35,MATCH(B11,Tenants!$A$6:$A$35,0)),"Unit not found"))</f>
        <v/>
      </c>
      <c r="D11" s="48" t="str">
        <f>IF(B11="","",IF(J11="Y","(vacant)",IFERROR(INDEX(Tenants!$C$6:$C$35,MATCH(B11,Tenants!$A$6:$A$35,0)),"")))</f>
        <v/>
      </c>
      <c r="E11" s="56"/>
      <c r="F11" s="56"/>
      <c r="G11" s="56"/>
      <c r="H11" s="50"/>
      <c r="I11" s="47"/>
      <c r="J11" s="47"/>
      <c r="K11" s="48" t="str">
        <f ca="1">IF(B11="","",IF(UPPER(J11)="Y","Vacant",IF(AND(G11&gt;0,G11&gt;=E11+F11),IF(AND(H11&lt;&gt;"",A11&lt;&gt;"",H11&gt;A11+Settings!$C$7),"Paid late","Paid"),IF(G11&gt;0,"Partial",IF(AND(A11&lt;&gt;"",TODAY()&gt;A11+Settings!$C$7),"Unpaid","Due")))))</f>
        <v/>
      </c>
      <c r="L11" s="52" t="str">
        <f t="shared" si="0"/>
        <v/>
      </c>
      <c r="M11" s="47"/>
      <c r="N11" s="48" t="str">
        <f t="shared" si="1"/>
        <v/>
      </c>
      <c r="O11" s="48" t="str">
        <f>IF(B11="","",COUNTIF($B$7:B11,B11))</f>
        <v/>
      </c>
      <c r="P11" s="48" t="str">
        <f t="shared" si="2"/>
        <v/>
      </c>
      <c r="Q11" s="48" t="str">
        <f t="shared" si="3"/>
        <v/>
      </c>
      <c r="R11" s="48" t="str">
        <f t="shared" si="4"/>
        <v/>
      </c>
    </row>
    <row r="12" spans="1:18" ht="16" x14ac:dyDescent="0.2">
      <c r="A12" s="50"/>
      <c r="B12" s="47"/>
      <c r="C12" s="48" t="str">
        <f>IF(B12="","",IFERROR(INDEX(Tenants!$B$6:$B$35,MATCH(B12,Tenants!$A$6:$A$35,0)),"Unit not found"))</f>
        <v/>
      </c>
      <c r="D12" s="48" t="str">
        <f>IF(B12="","",IF(J12="Y","(vacant)",IFERROR(INDEX(Tenants!$C$6:$C$35,MATCH(B12,Tenants!$A$6:$A$35,0)),"")))</f>
        <v/>
      </c>
      <c r="E12" s="56"/>
      <c r="F12" s="56"/>
      <c r="G12" s="56"/>
      <c r="H12" s="50"/>
      <c r="I12" s="47"/>
      <c r="J12" s="47"/>
      <c r="K12" s="48" t="str">
        <f ca="1">IF(B12="","",IF(UPPER(J12)="Y","Vacant",IF(AND(G12&gt;0,G12&gt;=E12+F12),IF(AND(H12&lt;&gt;"",A12&lt;&gt;"",H12&gt;A12+Settings!$C$7),"Paid late","Paid"),IF(G12&gt;0,"Partial",IF(AND(A12&lt;&gt;"",TODAY()&gt;A12+Settings!$C$7),"Unpaid","Due")))))</f>
        <v/>
      </c>
      <c r="L12" s="52" t="str">
        <f t="shared" si="0"/>
        <v/>
      </c>
      <c r="M12" s="47"/>
      <c r="N12" s="48" t="str">
        <f t="shared" si="1"/>
        <v/>
      </c>
      <c r="O12" s="48" t="str">
        <f>IF(B12="","",COUNTIF($B$7:B12,B12))</f>
        <v/>
      </c>
      <c r="P12" s="48" t="str">
        <f t="shared" si="2"/>
        <v/>
      </c>
      <c r="Q12" s="48" t="str">
        <f t="shared" si="3"/>
        <v/>
      </c>
      <c r="R12" s="48" t="str">
        <f t="shared" si="4"/>
        <v/>
      </c>
    </row>
    <row r="13" spans="1:18" ht="16" x14ac:dyDescent="0.2">
      <c r="A13" s="50"/>
      <c r="B13" s="47"/>
      <c r="C13" s="48" t="str">
        <f>IF(B13="","",IFERROR(INDEX(Tenants!$B$6:$B$35,MATCH(B13,Tenants!$A$6:$A$35,0)),"Unit not found"))</f>
        <v/>
      </c>
      <c r="D13" s="48" t="str">
        <f>IF(B13="","",IF(J13="Y","(vacant)",IFERROR(INDEX(Tenants!$C$6:$C$35,MATCH(B13,Tenants!$A$6:$A$35,0)),"")))</f>
        <v/>
      </c>
      <c r="E13" s="56"/>
      <c r="F13" s="56"/>
      <c r="G13" s="56"/>
      <c r="H13" s="50"/>
      <c r="I13" s="47"/>
      <c r="J13" s="47"/>
      <c r="K13" s="48" t="str">
        <f ca="1">IF(B13="","",IF(UPPER(J13)="Y","Vacant",IF(AND(G13&gt;0,G13&gt;=E13+F13),IF(AND(H13&lt;&gt;"",A13&lt;&gt;"",H13&gt;A13+Settings!$C$7),"Paid late","Paid"),IF(G13&gt;0,"Partial",IF(AND(A13&lt;&gt;"",TODAY()&gt;A13+Settings!$C$7),"Unpaid","Due")))))</f>
        <v/>
      </c>
      <c r="L13" s="52" t="str">
        <f t="shared" si="0"/>
        <v/>
      </c>
      <c r="M13" s="47"/>
      <c r="N13" s="48" t="str">
        <f t="shared" si="1"/>
        <v/>
      </c>
      <c r="O13" s="48" t="str">
        <f>IF(B13="","",COUNTIF($B$7:B13,B13))</f>
        <v/>
      </c>
      <c r="P13" s="48" t="str">
        <f t="shared" si="2"/>
        <v/>
      </c>
      <c r="Q13" s="48" t="str">
        <f t="shared" si="3"/>
        <v/>
      </c>
      <c r="R13" s="48" t="str">
        <f t="shared" si="4"/>
        <v/>
      </c>
    </row>
    <row r="14" spans="1:18" ht="16" x14ac:dyDescent="0.2">
      <c r="A14" s="50"/>
      <c r="B14" s="47"/>
      <c r="C14" s="48" t="str">
        <f>IF(B14="","",IFERROR(INDEX(Tenants!$B$6:$B$35,MATCH(B14,Tenants!$A$6:$A$35,0)),"Unit not found"))</f>
        <v/>
      </c>
      <c r="D14" s="48" t="str">
        <f>IF(B14="","",IF(J14="Y","(vacant)",IFERROR(INDEX(Tenants!$C$6:$C$35,MATCH(B14,Tenants!$A$6:$A$35,0)),"")))</f>
        <v/>
      </c>
      <c r="E14" s="56"/>
      <c r="F14" s="56"/>
      <c r="G14" s="56"/>
      <c r="H14" s="50"/>
      <c r="I14" s="47"/>
      <c r="J14" s="47"/>
      <c r="K14" s="48" t="str">
        <f ca="1">IF(B14="","",IF(UPPER(J14)="Y","Vacant",IF(AND(G14&gt;0,G14&gt;=E14+F14),IF(AND(H14&lt;&gt;"",A14&lt;&gt;"",H14&gt;A14+Settings!$C$7),"Paid late","Paid"),IF(G14&gt;0,"Partial",IF(AND(A14&lt;&gt;"",TODAY()&gt;A14+Settings!$C$7),"Unpaid","Due")))))</f>
        <v/>
      </c>
      <c r="L14" s="52" t="str">
        <f t="shared" si="0"/>
        <v/>
      </c>
      <c r="M14" s="47"/>
      <c r="N14" s="48" t="str">
        <f t="shared" si="1"/>
        <v/>
      </c>
      <c r="O14" s="48" t="str">
        <f>IF(B14="","",COUNTIF($B$7:B14,B14))</f>
        <v/>
      </c>
      <c r="P14" s="48" t="str">
        <f t="shared" si="2"/>
        <v/>
      </c>
      <c r="Q14" s="48" t="str">
        <f t="shared" si="3"/>
        <v/>
      </c>
      <c r="R14" s="48" t="str">
        <f t="shared" si="4"/>
        <v/>
      </c>
    </row>
    <row r="15" spans="1:18" ht="16" x14ac:dyDescent="0.2">
      <c r="A15" s="50"/>
      <c r="B15" s="47"/>
      <c r="C15" s="48" t="str">
        <f>IF(B15="","",IFERROR(INDEX(Tenants!$B$6:$B$35,MATCH(B15,Tenants!$A$6:$A$35,0)),"Unit not found"))</f>
        <v/>
      </c>
      <c r="D15" s="48" t="str">
        <f>IF(B15="","",IF(J15="Y","(vacant)",IFERROR(INDEX(Tenants!$C$6:$C$35,MATCH(B15,Tenants!$A$6:$A$35,0)),"")))</f>
        <v/>
      </c>
      <c r="E15" s="56"/>
      <c r="F15" s="56"/>
      <c r="G15" s="56"/>
      <c r="H15" s="50"/>
      <c r="I15" s="47"/>
      <c r="J15" s="47"/>
      <c r="K15" s="48" t="str">
        <f ca="1">IF(B15="","",IF(UPPER(J15)="Y","Vacant",IF(AND(G15&gt;0,G15&gt;=E15+F15),IF(AND(H15&lt;&gt;"",A15&lt;&gt;"",H15&gt;A15+Settings!$C$7),"Paid late","Paid"),IF(G15&gt;0,"Partial",IF(AND(A15&lt;&gt;"",TODAY()&gt;A15+Settings!$C$7),"Unpaid","Due")))))</f>
        <v/>
      </c>
      <c r="L15" s="52" t="str">
        <f t="shared" si="0"/>
        <v/>
      </c>
      <c r="M15" s="47"/>
      <c r="N15" s="48" t="str">
        <f t="shared" si="1"/>
        <v/>
      </c>
      <c r="O15" s="48" t="str">
        <f>IF(B15="","",COUNTIF($B$7:B15,B15))</f>
        <v/>
      </c>
      <c r="P15" s="48" t="str">
        <f t="shared" si="2"/>
        <v/>
      </c>
      <c r="Q15" s="48" t="str">
        <f t="shared" si="3"/>
        <v/>
      </c>
      <c r="R15" s="48" t="str">
        <f t="shared" si="4"/>
        <v/>
      </c>
    </row>
    <row r="16" spans="1:18" ht="16" x14ac:dyDescent="0.2">
      <c r="A16" s="50"/>
      <c r="B16" s="47"/>
      <c r="C16" s="48" t="str">
        <f>IF(B16="","",IFERROR(INDEX(Tenants!$B$6:$B$35,MATCH(B16,Tenants!$A$6:$A$35,0)),"Unit not found"))</f>
        <v/>
      </c>
      <c r="D16" s="48" t="str">
        <f>IF(B16="","",IF(J16="Y","(vacant)",IFERROR(INDEX(Tenants!$C$6:$C$35,MATCH(B16,Tenants!$A$6:$A$35,0)),"")))</f>
        <v/>
      </c>
      <c r="E16" s="56"/>
      <c r="F16" s="56"/>
      <c r="G16" s="56"/>
      <c r="H16" s="50"/>
      <c r="I16" s="47"/>
      <c r="J16" s="47"/>
      <c r="K16" s="48" t="str">
        <f ca="1">IF(B16="","",IF(UPPER(J16)="Y","Vacant",IF(AND(G16&gt;0,G16&gt;=E16+F16),IF(AND(H16&lt;&gt;"",A16&lt;&gt;"",H16&gt;A16+Settings!$C$7),"Paid late","Paid"),IF(G16&gt;0,"Partial",IF(AND(A16&lt;&gt;"",TODAY()&gt;A16+Settings!$C$7),"Unpaid","Due")))))</f>
        <v/>
      </c>
      <c r="L16" s="52" t="str">
        <f t="shared" si="0"/>
        <v/>
      </c>
      <c r="M16" s="47"/>
      <c r="N16" s="48" t="str">
        <f t="shared" si="1"/>
        <v/>
      </c>
      <c r="O16" s="48" t="str">
        <f>IF(B16="","",COUNTIF($B$7:B16,B16))</f>
        <v/>
      </c>
      <c r="P16" s="48" t="str">
        <f t="shared" si="2"/>
        <v/>
      </c>
      <c r="Q16" s="48" t="str">
        <f t="shared" si="3"/>
        <v/>
      </c>
      <c r="R16" s="48" t="str">
        <f t="shared" si="4"/>
        <v/>
      </c>
    </row>
    <row r="17" spans="1:18" ht="16" x14ac:dyDescent="0.2">
      <c r="A17" s="50"/>
      <c r="B17" s="47"/>
      <c r="C17" s="48" t="str">
        <f>IF(B17="","",IFERROR(INDEX(Tenants!$B$6:$B$35,MATCH(B17,Tenants!$A$6:$A$35,0)),"Unit not found"))</f>
        <v/>
      </c>
      <c r="D17" s="48" t="str">
        <f>IF(B17="","",IF(J17="Y","(vacant)",IFERROR(INDEX(Tenants!$C$6:$C$35,MATCH(B17,Tenants!$A$6:$A$35,0)),"")))</f>
        <v/>
      </c>
      <c r="E17" s="56"/>
      <c r="F17" s="56"/>
      <c r="G17" s="56"/>
      <c r="H17" s="50"/>
      <c r="I17" s="47"/>
      <c r="J17" s="47"/>
      <c r="K17" s="48" t="str">
        <f ca="1">IF(B17="","",IF(UPPER(J17)="Y","Vacant",IF(AND(G17&gt;0,G17&gt;=E17+F17),IF(AND(H17&lt;&gt;"",A17&lt;&gt;"",H17&gt;A17+Settings!$C$7),"Paid late","Paid"),IF(G17&gt;0,"Partial",IF(AND(A17&lt;&gt;"",TODAY()&gt;A17+Settings!$C$7),"Unpaid","Due")))))</f>
        <v/>
      </c>
      <c r="L17" s="52" t="str">
        <f t="shared" si="0"/>
        <v/>
      </c>
      <c r="M17" s="47"/>
      <c r="N17" s="48" t="str">
        <f t="shared" si="1"/>
        <v/>
      </c>
      <c r="O17" s="48" t="str">
        <f>IF(B17="","",COUNTIF($B$7:B17,B17))</f>
        <v/>
      </c>
      <c r="P17" s="48" t="str">
        <f t="shared" si="2"/>
        <v/>
      </c>
      <c r="Q17" s="48" t="str">
        <f t="shared" si="3"/>
        <v/>
      </c>
      <c r="R17" s="48" t="str">
        <f t="shared" si="4"/>
        <v/>
      </c>
    </row>
    <row r="18" spans="1:18" ht="16" x14ac:dyDescent="0.2">
      <c r="A18" s="50"/>
      <c r="B18" s="47"/>
      <c r="C18" s="48" t="str">
        <f>IF(B18="","",IFERROR(INDEX(Tenants!$B$6:$B$35,MATCH(B18,Tenants!$A$6:$A$35,0)),"Unit not found"))</f>
        <v/>
      </c>
      <c r="D18" s="48" t="str">
        <f>IF(B18="","",IF(J18="Y","(vacant)",IFERROR(INDEX(Tenants!$C$6:$C$35,MATCH(B18,Tenants!$A$6:$A$35,0)),"")))</f>
        <v/>
      </c>
      <c r="E18" s="56"/>
      <c r="F18" s="56"/>
      <c r="G18" s="56"/>
      <c r="H18" s="50"/>
      <c r="I18" s="47"/>
      <c r="J18" s="47"/>
      <c r="K18" s="48" t="str">
        <f ca="1">IF(B18="","",IF(UPPER(J18)="Y","Vacant",IF(AND(G18&gt;0,G18&gt;=E18+F18),IF(AND(H18&lt;&gt;"",A18&lt;&gt;"",H18&gt;A18+Settings!$C$7),"Paid late","Paid"),IF(G18&gt;0,"Partial",IF(AND(A18&lt;&gt;"",TODAY()&gt;A18+Settings!$C$7),"Unpaid","Due")))))</f>
        <v/>
      </c>
      <c r="L18" s="52" t="str">
        <f t="shared" si="0"/>
        <v/>
      </c>
      <c r="M18" s="47"/>
      <c r="N18" s="48" t="str">
        <f t="shared" si="1"/>
        <v/>
      </c>
      <c r="O18" s="48" t="str">
        <f>IF(B18="","",COUNTIF($B$7:B18,B18))</f>
        <v/>
      </c>
      <c r="P18" s="48" t="str">
        <f t="shared" si="2"/>
        <v/>
      </c>
      <c r="Q18" s="48" t="str">
        <f t="shared" si="3"/>
        <v/>
      </c>
      <c r="R18" s="48" t="str">
        <f t="shared" si="4"/>
        <v/>
      </c>
    </row>
    <row r="19" spans="1:18" ht="16" x14ac:dyDescent="0.2">
      <c r="A19" s="50"/>
      <c r="B19" s="47"/>
      <c r="C19" s="48" t="str">
        <f>IF(B19="","",IFERROR(INDEX(Tenants!$B$6:$B$35,MATCH(B19,Tenants!$A$6:$A$35,0)),"Unit not found"))</f>
        <v/>
      </c>
      <c r="D19" s="48" t="str">
        <f>IF(B19="","",IF(J19="Y","(vacant)",IFERROR(INDEX(Tenants!$C$6:$C$35,MATCH(B19,Tenants!$A$6:$A$35,0)),"")))</f>
        <v/>
      </c>
      <c r="E19" s="56"/>
      <c r="F19" s="56"/>
      <c r="G19" s="56"/>
      <c r="H19" s="50"/>
      <c r="I19" s="47"/>
      <c r="J19" s="47"/>
      <c r="K19" s="48" t="str">
        <f ca="1">IF(B19="","",IF(UPPER(J19)="Y","Vacant",IF(AND(G19&gt;0,G19&gt;=E19+F19),IF(AND(H19&lt;&gt;"",A19&lt;&gt;"",H19&gt;A19+Settings!$C$7),"Paid late","Paid"),IF(G19&gt;0,"Partial",IF(AND(A19&lt;&gt;"",TODAY()&gt;A19+Settings!$C$7),"Unpaid","Due")))))</f>
        <v/>
      </c>
      <c r="L19" s="52" t="str">
        <f t="shared" si="0"/>
        <v/>
      </c>
      <c r="M19" s="47"/>
      <c r="N19" s="48" t="str">
        <f t="shared" si="1"/>
        <v/>
      </c>
      <c r="O19" s="48" t="str">
        <f>IF(B19="","",COUNTIF($B$7:B19,B19))</f>
        <v/>
      </c>
      <c r="P19" s="48" t="str">
        <f t="shared" si="2"/>
        <v/>
      </c>
      <c r="Q19" s="48" t="str">
        <f t="shared" si="3"/>
        <v/>
      </c>
      <c r="R19" s="48" t="str">
        <f t="shared" si="4"/>
        <v/>
      </c>
    </row>
    <row r="20" spans="1:18" ht="16" x14ac:dyDescent="0.2">
      <c r="A20" s="50"/>
      <c r="B20" s="47"/>
      <c r="C20" s="48" t="str">
        <f>IF(B20="","",IFERROR(INDEX(Tenants!$B$6:$B$35,MATCH(B20,Tenants!$A$6:$A$35,0)),"Unit not found"))</f>
        <v/>
      </c>
      <c r="D20" s="48" t="str">
        <f>IF(B20="","",IF(J20="Y","(vacant)",IFERROR(INDEX(Tenants!$C$6:$C$35,MATCH(B20,Tenants!$A$6:$A$35,0)),"")))</f>
        <v/>
      </c>
      <c r="E20" s="56"/>
      <c r="F20" s="56"/>
      <c r="G20" s="56"/>
      <c r="H20" s="50"/>
      <c r="I20" s="47"/>
      <c r="J20" s="47"/>
      <c r="K20" s="48" t="str">
        <f ca="1">IF(B20="","",IF(UPPER(J20)="Y","Vacant",IF(AND(G20&gt;0,G20&gt;=E20+F20),IF(AND(H20&lt;&gt;"",A20&lt;&gt;"",H20&gt;A20+Settings!$C$7),"Paid late","Paid"),IF(G20&gt;0,"Partial",IF(AND(A20&lt;&gt;"",TODAY()&gt;A20+Settings!$C$7),"Unpaid","Due")))))</f>
        <v/>
      </c>
      <c r="L20" s="52" t="str">
        <f t="shared" si="0"/>
        <v/>
      </c>
      <c r="M20" s="47"/>
      <c r="N20" s="48" t="str">
        <f t="shared" si="1"/>
        <v/>
      </c>
      <c r="O20" s="48" t="str">
        <f>IF(B20="","",COUNTIF($B$7:B20,B20))</f>
        <v/>
      </c>
      <c r="P20" s="48" t="str">
        <f t="shared" si="2"/>
        <v/>
      </c>
      <c r="Q20" s="48" t="str">
        <f t="shared" si="3"/>
        <v/>
      </c>
      <c r="R20" s="48" t="str">
        <f t="shared" si="4"/>
        <v/>
      </c>
    </row>
    <row r="21" spans="1:18" ht="16" x14ac:dyDescent="0.2">
      <c r="A21" s="50"/>
      <c r="B21" s="47"/>
      <c r="C21" s="48" t="str">
        <f>IF(B21="","",IFERROR(INDEX(Tenants!$B$6:$B$35,MATCH(B21,Tenants!$A$6:$A$35,0)),"Unit not found"))</f>
        <v/>
      </c>
      <c r="D21" s="48" t="str">
        <f>IF(B21="","",IF(J21="Y","(vacant)",IFERROR(INDEX(Tenants!$C$6:$C$35,MATCH(B21,Tenants!$A$6:$A$35,0)),"")))</f>
        <v/>
      </c>
      <c r="E21" s="56"/>
      <c r="F21" s="56"/>
      <c r="G21" s="56"/>
      <c r="H21" s="50"/>
      <c r="I21" s="47"/>
      <c r="J21" s="47"/>
      <c r="K21" s="48" t="str">
        <f ca="1">IF(B21="","",IF(UPPER(J21)="Y","Vacant",IF(AND(G21&gt;0,G21&gt;=E21+F21),IF(AND(H21&lt;&gt;"",A21&lt;&gt;"",H21&gt;A21+Settings!$C$7),"Paid late","Paid"),IF(G21&gt;0,"Partial",IF(AND(A21&lt;&gt;"",TODAY()&gt;A21+Settings!$C$7),"Unpaid","Due")))))</f>
        <v/>
      </c>
      <c r="L21" s="52" t="str">
        <f t="shared" si="0"/>
        <v/>
      </c>
      <c r="M21" s="47"/>
      <c r="N21" s="48" t="str">
        <f t="shared" si="1"/>
        <v/>
      </c>
      <c r="O21" s="48" t="str">
        <f>IF(B21="","",COUNTIF($B$7:B21,B21))</f>
        <v/>
      </c>
      <c r="P21" s="48" t="str">
        <f t="shared" si="2"/>
        <v/>
      </c>
      <c r="Q21" s="48" t="str">
        <f t="shared" si="3"/>
        <v/>
      </c>
      <c r="R21" s="48" t="str">
        <f t="shared" si="4"/>
        <v/>
      </c>
    </row>
    <row r="22" spans="1:18" ht="16" x14ac:dyDescent="0.2">
      <c r="A22" s="50"/>
      <c r="B22" s="47"/>
      <c r="C22" s="48" t="str">
        <f>IF(B22="","",IFERROR(INDEX(Tenants!$B$6:$B$35,MATCH(B22,Tenants!$A$6:$A$35,0)),"Unit not found"))</f>
        <v/>
      </c>
      <c r="D22" s="48" t="str">
        <f>IF(B22="","",IF(J22="Y","(vacant)",IFERROR(INDEX(Tenants!$C$6:$C$35,MATCH(B22,Tenants!$A$6:$A$35,0)),"")))</f>
        <v/>
      </c>
      <c r="E22" s="56"/>
      <c r="F22" s="56"/>
      <c r="G22" s="56"/>
      <c r="H22" s="50"/>
      <c r="I22" s="47"/>
      <c r="J22" s="47"/>
      <c r="K22" s="48" t="str">
        <f ca="1">IF(B22="","",IF(UPPER(J22)="Y","Vacant",IF(AND(G22&gt;0,G22&gt;=E22+F22),IF(AND(H22&lt;&gt;"",A22&lt;&gt;"",H22&gt;A22+Settings!$C$7),"Paid late","Paid"),IF(G22&gt;0,"Partial",IF(AND(A22&lt;&gt;"",TODAY()&gt;A22+Settings!$C$7),"Unpaid","Due")))))</f>
        <v/>
      </c>
      <c r="L22" s="52" t="str">
        <f t="shared" si="0"/>
        <v/>
      </c>
      <c r="M22" s="47"/>
      <c r="N22" s="48" t="str">
        <f t="shared" si="1"/>
        <v/>
      </c>
      <c r="O22" s="48" t="str">
        <f>IF(B22="","",COUNTIF($B$7:B22,B22))</f>
        <v/>
      </c>
      <c r="P22" s="48" t="str">
        <f t="shared" si="2"/>
        <v/>
      </c>
      <c r="Q22" s="48" t="str">
        <f t="shared" si="3"/>
        <v/>
      </c>
      <c r="R22" s="48" t="str">
        <f t="shared" si="4"/>
        <v/>
      </c>
    </row>
    <row r="23" spans="1:18" ht="16" x14ac:dyDescent="0.2">
      <c r="A23" s="50"/>
      <c r="B23" s="47"/>
      <c r="C23" s="48" t="str">
        <f>IF(B23="","",IFERROR(INDEX(Tenants!$B$6:$B$35,MATCH(B23,Tenants!$A$6:$A$35,0)),"Unit not found"))</f>
        <v/>
      </c>
      <c r="D23" s="48" t="str">
        <f>IF(B23="","",IF(J23="Y","(vacant)",IFERROR(INDEX(Tenants!$C$6:$C$35,MATCH(B23,Tenants!$A$6:$A$35,0)),"")))</f>
        <v/>
      </c>
      <c r="E23" s="56"/>
      <c r="F23" s="56"/>
      <c r="G23" s="56"/>
      <c r="H23" s="50"/>
      <c r="I23" s="47"/>
      <c r="J23" s="47"/>
      <c r="K23" s="48" t="str">
        <f ca="1">IF(B23="","",IF(UPPER(J23)="Y","Vacant",IF(AND(G23&gt;0,G23&gt;=E23+F23),IF(AND(H23&lt;&gt;"",A23&lt;&gt;"",H23&gt;A23+Settings!$C$7),"Paid late","Paid"),IF(G23&gt;0,"Partial",IF(AND(A23&lt;&gt;"",TODAY()&gt;A23+Settings!$C$7),"Unpaid","Due")))))</f>
        <v/>
      </c>
      <c r="L23" s="52" t="str">
        <f t="shared" si="0"/>
        <v/>
      </c>
      <c r="M23" s="47"/>
      <c r="N23" s="48" t="str">
        <f t="shared" si="1"/>
        <v/>
      </c>
      <c r="O23" s="48" t="str">
        <f>IF(B23="","",COUNTIF($B$7:B23,B23))</f>
        <v/>
      </c>
      <c r="P23" s="48" t="str">
        <f t="shared" si="2"/>
        <v/>
      </c>
      <c r="Q23" s="48" t="str">
        <f t="shared" si="3"/>
        <v/>
      </c>
      <c r="R23" s="48" t="str">
        <f t="shared" si="4"/>
        <v/>
      </c>
    </row>
    <row r="24" spans="1:18" ht="16" x14ac:dyDescent="0.2">
      <c r="A24" s="50"/>
      <c r="B24" s="47"/>
      <c r="C24" s="48" t="str">
        <f>IF(B24="","",IFERROR(INDEX(Tenants!$B$6:$B$35,MATCH(B24,Tenants!$A$6:$A$35,0)),"Unit not found"))</f>
        <v/>
      </c>
      <c r="D24" s="48" t="str">
        <f>IF(B24="","",IF(J24="Y","(vacant)",IFERROR(INDEX(Tenants!$C$6:$C$35,MATCH(B24,Tenants!$A$6:$A$35,0)),"")))</f>
        <v/>
      </c>
      <c r="E24" s="56"/>
      <c r="F24" s="56"/>
      <c r="G24" s="56"/>
      <c r="H24" s="50"/>
      <c r="I24" s="47"/>
      <c r="J24" s="47"/>
      <c r="K24" s="48" t="str">
        <f ca="1">IF(B24="","",IF(UPPER(J24)="Y","Vacant",IF(AND(G24&gt;0,G24&gt;=E24+F24),IF(AND(H24&lt;&gt;"",A24&lt;&gt;"",H24&gt;A24+Settings!$C$7),"Paid late","Paid"),IF(G24&gt;0,"Partial",IF(AND(A24&lt;&gt;"",TODAY()&gt;A24+Settings!$C$7),"Unpaid","Due")))))</f>
        <v/>
      </c>
      <c r="L24" s="52" t="str">
        <f t="shared" si="0"/>
        <v/>
      </c>
      <c r="M24" s="47"/>
      <c r="N24" s="48" t="str">
        <f t="shared" si="1"/>
        <v/>
      </c>
      <c r="O24" s="48" t="str">
        <f>IF(B24="","",COUNTIF($B$7:B24,B24))</f>
        <v/>
      </c>
      <c r="P24" s="48" t="str">
        <f t="shared" si="2"/>
        <v/>
      </c>
      <c r="Q24" s="48" t="str">
        <f t="shared" si="3"/>
        <v/>
      </c>
      <c r="R24" s="48" t="str">
        <f t="shared" si="4"/>
        <v/>
      </c>
    </row>
    <row r="25" spans="1:18" ht="16" x14ac:dyDescent="0.2">
      <c r="A25" s="50"/>
      <c r="B25" s="47"/>
      <c r="C25" s="48" t="str">
        <f>IF(B25="","",IFERROR(INDEX(Tenants!$B$6:$B$35,MATCH(B25,Tenants!$A$6:$A$35,0)),"Unit not found"))</f>
        <v/>
      </c>
      <c r="D25" s="48" t="str">
        <f>IF(B25="","",IF(J25="Y","(vacant)",IFERROR(INDEX(Tenants!$C$6:$C$35,MATCH(B25,Tenants!$A$6:$A$35,0)),"")))</f>
        <v/>
      </c>
      <c r="E25" s="56"/>
      <c r="F25" s="56"/>
      <c r="G25" s="56"/>
      <c r="H25" s="50"/>
      <c r="I25" s="47"/>
      <c r="J25" s="47"/>
      <c r="K25" s="48" t="str">
        <f ca="1">IF(B25="","",IF(UPPER(J25)="Y","Vacant",IF(AND(G25&gt;0,G25&gt;=E25+F25),IF(AND(H25&lt;&gt;"",A25&lt;&gt;"",H25&gt;A25+Settings!$C$7),"Paid late","Paid"),IF(G25&gt;0,"Partial",IF(AND(A25&lt;&gt;"",TODAY()&gt;A25+Settings!$C$7),"Unpaid","Due")))))</f>
        <v/>
      </c>
      <c r="L25" s="52" t="str">
        <f t="shared" si="0"/>
        <v/>
      </c>
      <c r="M25" s="47"/>
      <c r="N25" s="48" t="str">
        <f t="shared" si="1"/>
        <v/>
      </c>
      <c r="O25" s="48" t="str">
        <f>IF(B25="","",COUNTIF($B$7:B25,B25))</f>
        <v/>
      </c>
      <c r="P25" s="48" t="str">
        <f t="shared" si="2"/>
        <v/>
      </c>
      <c r="Q25" s="48" t="str">
        <f t="shared" si="3"/>
        <v/>
      </c>
      <c r="R25" s="48" t="str">
        <f t="shared" si="4"/>
        <v/>
      </c>
    </row>
    <row r="26" spans="1:18" ht="16" x14ac:dyDescent="0.2">
      <c r="A26" s="50"/>
      <c r="B26" s="47"/>
      <c r="C26" s="48" t="str">
        <f>IF(B26="","",IFERROR(INDEX(Tenants!$B$6:$B$35,MATCH(B26,Tenants!$A$6:$A$35,0)),"Unit not found"))</f>
        <v/>
      </c>
      <c r="D26" s="48" t="str">
        <f>IF(B26="","",IF(J26="Y","(vacant)",IFERROR(INDEX(Tenants!$C$6:$C$35,MATCH(B26,Tenants!$A$6:$A$35,0)),"")))</f>
        <v/>
      </c>
      <c r="E26" s="56"/>
      <c r="F26" s="56"/>
      <c r="G26" s="56"/>
      <c r="H26" s="50"/>
      <c r="I26" s="47"/>
      <c r="J26" s="47"/>
      <c r="K26" s="48" t="str">
        <f ca="1">IF(B26="","",IF(UPPER(J26)="Y","Vacant",IF(AND(G26&gt;0,G26&gt;=E26+F26),IF(AND(H26&lt;&gt;"",A26&lt;&gt;"",H26&gt;A26+Settings!$C$7),"Paid late","Paid"),IF(G26&gt;0,"Partial",IF(AND(A26&lt;&gt;"",TODAY()&gt;A26+Settings!$C$7),"Unpaid","Due")))))</f>
        <v/>
      </c>
      <c r="L26" s="52" t="str">
        <f t="shared" si="0"/>
        <v/>
      </c>
      <c r="M26" s="47"/>
      <c r="N26" s="48" t="str">
        <f t="shared" si="1"/>
        <v/>
      </c>
      <c r="O26" s="48" t="str">
        <f>IF(B26="","",COUNTIF($B$7:B26,B26))</f>
        <v/>
      </c>
      <c r="P26" s="48" t="str">
        <f t="shared" si="2"/>
        <v/>
      </c>
      <c r="Q26" s="48" t="str">
        <f t="shared" si="3"/>
        <v/>
      </c>
      <c r="R26" s="48" t="str">
        <f t="shared" si="4"/>
        <v/>
      </c>
    </row>
    <row r="27" spans="1:18" ht="16" x14ac:dyDescent="0.2">
      <c r="A27" s="50"/>
      <c r="B27" s="47"/>
      <c r="C27" s="48" t="str">
        <f>IF(B27="","",IFERROR(INDEX(Tenants!$B$6:$B$35,MATCH(B27,Tenants!$A$6:$A$35,0)),"Unit not found"))</f>
        <v/>
      </c>
      <c r="D27" s="48" t="str">
        <f>IF(B27="","",IF(J27="Y","(vacant)",IFERROR(INDEX(Tenants!$C$6:$C$35,MATCH(B27,Tenants!$A$6:$A$35,0)),"")))</f>
        <v/>
      </c>
      <c r="E27" s="56"/>
      <c r="F27" s="56"/>
      <c r="G27" s="56"/>
      <c r="H27" s="50"/>
      <c r="I27" s="47"/>
      <c r="J27" s="47"/>
      <c r="K27" s="48" t="str">
        <f ca="1">IF(B27="","",IF(UPPER(J27)="Y","Vacant",IF(AND(G27&gt;0,G27&gt;=E27+F27),IF(AND(H27&lt;&gt;"",A27&lt;&gt;"",H27&gt;A27+Settings!$C$7),"Paid late","Paid"),IF(G27&gt;0,"Partial",IF(AND(A27&lt;&gt;"",TODAY()&gt;A27+Settings!$C$7),"Unpaid","Due")))))</f>
        <v/>
      </c>
      <c r="L27" s="52" t="str">
        <f t="shared" si="0"/>
        <v/>
      </c>
      <c r="M27" s="47"/>
      <c r="N27" s="48" t="str">
        <f t="shared" si="1"/>
        <v/>
      </c>
      <c r="O27" s="48" t="str">
        <f>IF(B27="","",COUNTIF($B$7:B27,B27))</f>
        <v/>
      </c>
      <c r="P27" s="48" t="str">
        <f t="shared" si="2"/>
        <v/>
      </c>
      <c r="Q27" s="48" t="str">
        <f t="shared" si="3"/>
        <v/>
      </c>
      <c r="R27" s="48" t="str">
        <f t="shared" si="4"/>
        <v/>
      </c>
    </row>
    <row r="28" spans="1:18" ht="16" x14ac:dyDescent="0.2">
      <c r="A28" s="50"/>
      <c r="B28" s="47"/>
      <c r="C28" s="48" t="str">
        <f>IF(B28="","",IFERROR(INDEX(Tenants!$B$6:$B$35,MATCH(B28,Tenants!$A$6:$A$35,0)),"Unit not found"))</f>
        <v/>
      </c>
      <c r="D28" s="48" t="str">
        <f>IF(B28="","",IF(J28="Y","(vacant)",IFERROR(INDEX(Tenants!$C$6:$C$35,MATCH(B28,Tenants!$A$6:$A$35,0)),"")))</f>
        <v/>
      </c>
      <c r="E28" s="56"/>
      <c r="F28" s="56"/>
      <c r="G28" s="56"/>
      <c r="H28" s="50"/>
      <c r="I28" s="47"/>
      <c r="J28" s="47"/>
      <c r="K28" s="48" t="str">
        <f ca="1">IF(B28="","",IF(UPPER(J28)="Y","Vacant",IF(AND(G28&gt;0,G28&gt;=E28+F28),IF(AND(H28&lt;&gt;"",A28&lt;&gt;"",H28&gt;A28+Settings!$C$7),"Paid late","Paid"),IF(G28&gt;0,"Partial",IF(AND(A28&lt;&gt;"",TODAY()&gt;A28+Settings!$C$7),"Unpaid","Due")))))</f>
        <v/>
      </c>
      <c r="L28" s="52" t="str">
        <f t="shared" si="0"/>
        <v/>
      </c>
      <c r="M28" s="47"/>
      <c r="N28" s="48" t="str">
        <f t="shared" si="1"/>
        <v/>
      </c>
      <c r="O28" s="48" t="str">
        <f>IF(B28="","",COUNTIF($B$7:B28,B28))</f>
        <v/>
      </c>
      <c r="P28" s="48" t="str">
        <f t="shared" si="2"/>
        <v/>
      </c>
      <c r="Q28" s="48" t="str">
        <f t="shared" si="3"/>
        <v/>
      </c>
      <c r="R28" s="48" t="str">
        <f t="shared" si="4"/>
        <v/>
      </c>
    </row>
    <row r="29" spans="1:18" ht="16" x14ac:dyDescent="0.2">
      <c r="A29" s="50"/>
      <c r="B29" s="47"/>
      <c r="C29" s="48" t="str">
        <f>IF(B29="","",IFERROR(INDEX(Tenants!$B$6:$B$35,MATCH(B29,Tenants!$A$6:$A$35,0)),"Unit not found"))</f>
        <v/>
      </c>
      <c r="D29" s="48" t="str">
        <f>IF(B29="","",IF(J29="Y","(vacant)",IFERROR(INDEX(Tenants!$C$6:$C$35,MATCH(B29,Tenants!$A$6:$A$35,0)),"")))</f>
        <v/>
      </c>
      <c r="E29" s="56"/>
      <c r="F29" s="56"/>
      <c r="G29" s="56"/>
      <c r="H29" s="50"/>
      <c r="I29" s="47"/>
      <c r="J29" s="47"/>
      <c r="K29" s="48" t="str">
        <f ca="1">IF(B29="","",IF(UPPER(J29)="Y","Vacant",IF(AND(G29&gt;0,G29&gt;=E29+F29),IF(AND(H29&lt;&gt;"",A29&lt;&gt;"",H29&gt;A29+Settings!$C$7),"Paid late","Paid"),IF(G29&gt;0,"Partial",IF(AND(A29&lt;&gt;"",TODAY()&gt;A29+Settings!$C$7),"Unpaid","Due")))))</f>
        <v/>
      </c>
      <c r="L29" s="52" t="str">
        <f t="shared" si="0"/>
        <v/>
      </c>
      <c r="M29" s="47"/>
      <c r="N29" s="48" t="str">
        <f t="shared" si="1"/>
        <v/>
      </c>
      <c r="O29" s="48" t="str">
        <f>IF(B29="","",COUNTIF($B$7:B29,B29))</f>
        <v/>
      </c>
      <c r="P29" s="48" t="str">
        <f t="shared" si="2"/>
        <v/>
      </c>
      <c r="Q29" s="48" t="str">
        <f t="shared" si="3"/>
        <v/>
      </c>
      <c r="R29" s="48" t="str">
        <f t="shared" si="4"/>
        <v/>
      </c>
    </row>
    <row r="30" spans="1:18" ht="16" x14ac:dyDescent="0.2">
      <c r="A30" s="50"/>
      <c r="B30" s="47"/>
      <c r="C30" s="48" t="str">
        <f>IF(B30="","",IFERROR(INDEX(Tenants!$B$6:$B$35,MATCH(B30,Tenants!$A$6:$A$35,0)),"Unit not found"))</f>
        <v/>
      </c>
      <c r="D30" s="48" t="str">
        <f>IF(B30="","",IF(J30="Y","(vacant)",IFERROR(INDEX(Tenants!$C$6:$C$35,MATCH(B30,Tenants!$A$6:$A$35,0)),"")))</f>
        <v/>
      </c>
      <c r="E30" s="56"/>
      <c r="F30" s="56"/>
      <c r="G30" s="56"/>
      <c r="H30" s="50"/>
      <c r="I30" s="47"/>
      <c r="J30" s="47"/>
      <c r="K30" s="48" t="str">
        <f ca="1">IF(B30="","",IF(UPPER(J30)="Y","Vacant",IF(AND(G30&gt;0,G30&gt;=E30+F30),IF(AND(H30&lt;&gt;"",A30&lt;&gt;"",H30&gt;A30+Settings!$C$7),"Paid late","Paid"),IF(G30&gt;0,"Partial",IF(AND(A30&lt;&gt;"",TODAY()&gt;A30+Settings!$C$7),"Unpaid","Due")))))</f>
        <v/>
      </c>
      <c r="L30" s="52" t="str">
        <f t="shared" si="0"/>
        <v/>
      </c>
      <c r="M30" s="47"/>
      <c r="N30" s="48" t="str">
        <f t="shared" si="1"/>
        <v/>
      </c>
      <c r="O30" s="48" t="str">
        <f>IF(B30="","",COUNTIF($B$7:B30,B30))</f>
        <v/>
      </c>
      <c r="P30" s="48" t="str">
        <f t="shared" si="2"/>
        <v/>
      </c>
      <c r="Q30" s="48" t="str">
        <f t="shared" si="3"/>
        <v/>
      </c>
      <c r="R30" s="48" t="str">
        <f t="shared" si="4"/>
        <v/>
      </c>
    </row>
    <row r="31" spans="1:18" ht="16" x14ac:dyDescent="0.2">
      <c r="A31" s="50"/>
      <c r="B31" s="47"/>
      <c r="C31" s="48" t="str">
        <f>IF(B31="","",IFERROR(INDEX(Tenants!$B$6:$B$35,MATCH(B31,Tenants!$A$6:$A$35,0)),"Unit not found"))</f>
        <v/>
      </c>
      <c r="D31" s="48" t="str">
        <f>IF(B31="","",IF(J31="Y","(vacant)",IFERROR(INDEX(Tenants!$C$6:$C$35,MATCH(B31,Tenants!$A$6:$A$35,0)),"")))</f>
        <v/>
      </c>
      <c r="E31" s="56"/>
      <c r="F31" s="56"/>
      <c r="G31" s="56"/>
      <c r="H31" s="50"/>
      <c r="I31" s="47"/>
      <c r="J31" s="47"/>
      <c r="K31" s="48" t="str">
        <f ca="1">IF(B31="","",IF(UPPER(J31)="Y","Vacant",IF(AND(G31&gt;0,G31&gt;=E31+F31),IF(AND(H31&lt;&gt;"",A31&lt;&gt;"",H31&gt;A31+Settings!$C$7),"Paid late","Paid"),IF(G31&gt;0,"Partial",IF(AND(A31&lt;&gt;"",TODAY()&gt;A31+Settings!$C$7),"Unpaid","Due")))))</f>
        <v/>
      </c>
      <c r="L31" s="52" t="str">
        <f t="shared" si="0"/>
        <v/>
      </c>
      <c r="M31" s="47"/>
      <c r="N31" s="48" t="str">
        <f t="shared" si="1"/>
        <v/>
      </c>
      <c r="O31" s="48" t="str">
        <f>IF(B31="","",COUNTIF($B$7:B31,B31))</f>
        <v/>
      </c>
      <c r="P31" s="48" t="str">
        <f t="shared" si="2"/>
        <v/>
      </c>
      <c r="Q31" s="48" t="str">
        <f t="shared" si="3"/>
        <v/>
      </c>
      <c r="R31" s="48" t="str">
        <f t="shared" si="4"/>
        <v/>
      </c>
    </row>
    <row r="32" spans="1:18" ht="16" x14ac:dyDescent="0.2">
      <c r="A32" s="50"/>
      <c r="B32" s="47"/>
      <c r="C32" s="48" t="str">
        <f>IF(B32="","",IFERROR(INDEX(Tenants!$B$6:$B$35,MATCH(B32,Tenants!$A$6:$A$35,0)),"Unit not found"))</f>
        <v/>
      </c>
      <c r="D32" s="48" t="str">
        <f>IF(B32="","",IF(J32="Y","(vacant)",IFERROR(INDEX(Tenants!$C$6:$C$35,MATCH(B32,Tenants!$A$6:$A$35,0)),"")))</f>
        <v/>
      </c>
      <c r="E32" s="56"/>
      <c r="F32" s="56"/>
      <c r="G32" s="56"/>
      <c r="H32" s="50"/>
      <c r="I32" s="47"/>
      <c r="J32" s="47"/>
      <c r="K32" s="48" t="str">
        <f ca="1">IF(B32="","",IF(UPPER(J32)="Y","Vacant",IF(AND(G32&gt;0,G32&gt;=E32+F32),IF(AND(H32&lt;&gt;"",A32&lt;&gt;"",H32&gt;A32+Settings!$C$7),"Paid late","Paid"),IF(G32&gt;0,"Partial",IF(AND(A32&lt;&gt;"",TODAY()&gt;A32+Settings!$C$7),"Unpaid","Due")))))</f>
        <v/>
      </c>
      <c r="L32" s="52" t="str">
        <f t="shared" si="0"/>
        <v/>
      </c>
      <c r="M32" s="47"/>
      <c r="N32" s="48" t="str">
        <f t="shared" si="1"/>
        <v/>
      </c>
      <c r="O32" s="48" t="str">
        <f>IF(B32="","",COUNTIF($B$7:B32,B32))</f>
        <v/>
      </c>
      <c r="P32" s="48" t="str">
        <f t="shared" si="2"/>
        <v/>
      </c>
      <c r="Q32" s="48" t="str">
        <f t="shared" si="3"/>
        <v/>
      </c>
      <c r="R32" s="48" t="str">
        <f t="shared" si="4"/>
        <v/>
      </c>
    </row>
    <row r="33" spans="1:18" ht="16" x14ac:dyDescent="0.2">
      <c r="A33" s="50"/>
      <c r="B33" s="47"/>
      <c r="C33" s="48" t="str">
        <f>IF(B33="","",IFERROR(INDEX(Tenants!$B$6:$B$35,MATCH(B33,Tenants!$A$6:$A$35,0)),"Unit not found"))</f>
        <v/>
      </c>
      <c r="D33" s="48" t="str">
        <f>IF(B33="","",IF(J33="Y","(vacant)",IFERROR(INDEX(Tenants!$C$6:$C$35,MATCH(B33,Tenants!$A$6:$A$35,0)),"")))</f>
        <v/>
      </c>
      <c r="E33" s="56"/>
      <c r="F33" s="56"/>
      <c r="G33" s="56"/>
      <c r="H33" s="50"/>
      <c r="I33" s="47"/>
      <c r="J33" s="47"/>
      <c r="K33" s="48" t="str">
        <f ca="1">IF(B33="","",IF(UPPER(J33)="Y","Vacant",IF(AND(G33&gt;0,G33&gt;=E33+F33),IF(AND(H33&lt;&gt;"",A33&lt;&gt;"",H33&gt;A33+Settings!$C$7),"Paid late","Paid"),IF(G33&gt;0,"Partial",IF(AND(A33&lt;&gt;"",TODAY()&gt;A33+Settings!$C$7),"Unpaid","Due")))))</f>
        <v/>
      </c>
      <c r="L33" s="52" t="str">
        <f t="shared" si="0"/>
        <v/>
      </c>
      <c r="M33" s="47"/>
      <c r="N33" s="48" t="str">
        <f t="shared" si="1"/>
        <v/>
      </c>
      <c r="O33" s="48" t="str">
        <f>IF(B33="","",COUNTIF($B$7:B33,B33))</f>
        <v/>
      </c>
      <c r="P33" s="48" t="str">
        <f t="shared" si="2"/>
        <v/>
      </c>
      <c r="Q33" s="48" t="str">
        <f t="shared" si="3"/>
        <v/>
      </c>
      <c r="R33" s="48" t="str">
        <f t="shared" si="4"/>
        <v/>
      </c>
    </row>
    <row r="34" spans="1:18" ht="16" x14ac:dyDescent="0.2">
      <c r="A34" s="50"/>
      <c r="B34" s="47"/>
      <c r="C34" s="48" t="str">
        <f>IF(B34="","",IFERROR(INDEX(Tenants!$B$6:$B$35,MATCH(B34,Tenants!$A$6:$A$35,0)),"Unit not found"))</f>
        <v/>
      </c>
      <c r="D34" s="48" t="str">
        <f>IF(B34="","",IF(J34="Y","(vacant)",IFERROR(INDEX(Tenants!$C$6:$C$35,MATCH(B34,Tenants!$A$6:$A$35,0)),"")))</f>
        <v/>
      </c>
      <c r="E34" s="56"/>
      <c r="F34" s="56"/>
      <c r="G34" s="56"/>
      <c r="H34" s="50"/>
      <c r="I34" s="47"/>
      <c r="J34" s="47"/>
      <c r="K34" s="48" t="str">
        <f ca="1">IF(B34="","",IF(UPPER(J34)="Y","Vacant",IF(AND(G34&gt;0,G34&gt;=E34+F34),IF(AND(H34&lt;&gt;"",A34&lt;&gt;"",H34&gt;A34+Settings!$C$7),"Paid late","Paid"),IF(G34&gt;0,"Partial",IF(AND(A34&lt;&gt;"",TODAY()&gt;A34+Settings!$C$7),"Unpaid","Due")))))</f>
        <v/>
      </c>
      <c r="L34" s="52" t="str">
        <f t="shared" si="0"/>
        <v/>
      </c>
      <c r="M34" s="47"/>
      <c r="N34" s="48" t="str">
        <f t="shared" si="1"/>
        <v/>
      </c>
      <c r="O34" s="48" t="str">
        <f>IF(B34="","",COUNTIF($B$7:B34,B34))</f>
        <v/>
      </c>
      <c r="P34" s="48" t="str">
        <f t="shared" si="2"/>
        <v/>
      </c>
      <c r="Q34" s="48" t="str">
        <f t="shared" si="3"/>
        <v/>
      </c>
      <c r="R34" s="48" t="str">
        <f t="shared" si="4"/>
        <v/>
      </c>
    </row>
    <row r="35" spans="1:18" ht="16" x14ac:dyDescent="0.2">
      <c r="A35" s="50"/>
      <c r="B35" s="47"/>
      <c r="C35" s="48" t="str">
        <f>IF(B35="","",IFERROR(INDEX(Tenants!$B$6:$B$35,MATCH(B35,Tenants!$A$6:$A$35,0)),"Unit not found"))</f>
        <v/>
      </c>
      <c r="D35" s="48" t="str">
        <f>IF(B35="","",IF(J35="Y","(vacant)",IFERROR(INDEX(Tenants!$C$6:$C$35,MATCH(B35,Tenants!$A$6:$A$35,0)),"")))</f>
        <v/>
      </c>
      <c r="E35" s="56"/>
      <c r="F35" s="56"/>
      <c r="G35" s="56"/>
      <c r="H35" s="50"/>
      <c r="I35" s="47"/>
      <c r="J35" s="47"/>
      <c r="K35" s="48" t="str">
        <f ca="1">IF(B35="","",IF(UPPER(J35)="Y","Vacant",IF(AND(G35&gt;0,G35&gt;=E35+F35),IF(AND(H35&lt;&gt;"",A35&lt;&gt;"",H35&gt;A35+Settings!$C$7),"Paid late","Paid"),IF(G35&gt;0,"Partial",IF(AND(A35&lt;&gt;"",TODAY()&gt;A35+Settings!$C$7),"Unpaid","Due")))))</f>
        <v/>
      </c>
      <c r="L35" s="52" t="str">
        <f t="shared" si="0"/>
        <v/>
      </c>
      <c r="M35" s="47"/>
      <c r="N35" s="48" t="str">
        <f t="shared" si="1"/>
        <v/>
      </c>
      <c r="O35" s="48" t="str">
        <f>IF(B35="","",COUNTIF($B$7:B35,B35))</f>
        <v/>
      </c>
      <c r="P35" s="48" t="str">
        <f t="shared" si="2"/>
        <v/>
      </c>
      <c r="Q35" s="48" t="str">
        <f t="shared" si="3"/>
        <v/>
      </c>
      <c r="R35" s="48" t="str">
        <f t="shared" si="4"/>
        <v/>
      </c>
    </row>
    <row r="36" spans="1:18" ht="16" x14ac:dyDescent="0.2">
      <c r="A36" s="50"/>
      <c r="B36" s="47"/>
      <c r="C36" s="48" t="str">
        <f>IF(B36="","",IFERROR(INDEX(Tenants!$B$6:$B$35,MATCH(B36,Tenants!$A$6:$A$35,0)),"Unit not found"))</f>
        <v/>
      </c>
      <c r="D36" s="48" t="str">
        <f>IF(B36="","",IF(J36="Y","(vacant)",IFERROR(INDEX(Tenants!$C$6:$C$35,MATCH(B36,Tenants!$A$6:$A$35,0)),"")))</f>
        <v/>
      </c>
      <c r="E36" s="56"/>
      <c r="F36" s="56"/>
      <c r="G36" s="56"/>
      <c r="H36" s="50"/>
      <c r="I36" s="47"/>
      <c r="J36" s="47"/>
      <c r="K36" s="48" t="str">
        <f ca="1">IF(B36="","",IF(UPPER(J36)="Y","Vacant",IF(AND(G36&gt;0,G36&gt;=E36+F36),IF(AND(H36&lt;&gt;"",A36&lt;&gt;"",H36&gt;A36+Settings!$C$7),"Paid late","Paid"),IF(G36&gt;0,"Partial",IF(AND(A36&lt;&gt;"",TODAY()&gt;A36+Settings!$C$7),"Unpaid","Due")))))</f>
        <v/>
      </c>
      <c r="L36" s="52" t="str">
        <f t="shared" si="0"/>
        <v/>
      </c>
      <c r="M36" s="47"/>
      <c r="N36" s="48" t="str">
        <f t="shared" si="1"/>
        <v/>
      </c>
      <c r="O36" s="48" t="str">
        <f>IF(B36="","",COUNTIF($B$7:B36,B36))</f>
        <v/>
      </c>
      <c r="P36" s="48" t="str">
        <f t="shared" si="2"/>
        <v/>
      </c>
      <c r="Q36" s="48" t="str">
        <f t="shared" si="3"/>
        <v/>
      </c>
      <c r="R36" s="48" t="str">
        <f t="shared" si="4"/>
        <v/>
      </c>
    </row>
    <row r="37" spans="1:18" ht="16" x14ac:dyDescent="0.2">
      <c r="A37" s="50"/>
      <c r="B37" s="47"/>
      <c r="C37" s="48" t="str">
        <f>IF(B37="","",IFERROR(INDEX(Tenants!$B$6:$B$35,MATCH(B37,Tenants!$A$6:$A$35,0)),"Unit not found"))</f>
        <v/>
      </c>
      <c r="D37" s="48" t="str">
        <f>IF(B37="","",IF(J37="Y","(vacant)",IFERROR(INDEX(Tenants!$C$6:$C$35,MATCH(B37,Tenants!$A$6:$A$35,0)),"")))</f>
        <v/>
      </c>
      <c r="E37" s="56"/>
      <c r="F37" s="56"/>
      <c r="G37" s="56"/>
      <c r="H37" s="50"/>
      <c r="I37" s="47"/>
      <c r="J37" s="47"/>
      <c r="K37" s="48" t="str">
        <f ca="1">IF(B37="","",IF(UPPER(J37)="Y","Vacant",IF(AND(G37&gt;0,G37&gt;=E37+F37),IF(AND(H37&lt;&gt;"",A37&lt;&gt;"",H37&gt;A37+Settings!$C$7),"Paid late","Paid"),IF(G37&gt;0,"Partial",IF(AND(A37&lt;&gt;"",TODAY()&gt;A37+Settings!$C$7),"Unpaid","Due")))))</f>
        <v/>
      </c>
      <c r="L37" s="52" t="str">
        <f t="shared" si="0"/>
        <v/>
      </c>
      <c r="M37" s="47"/>
      <c r="N37" s="48" t="str">
        <f t="shared" si="1"/>
        <v/>
      </c>
      <c r="O37" s="48" t="str">
        <f>IF(B37="","",COUNTIF($B$7:B37,B37))</f>
        <v/>
      </c>
      <c r="P37" s="48" t="str">
        <f t="shared" si="2"/>
        <v/>
      </c>
      <c r="Q37" s="48" t="str">
        <f t="shared" si="3"/>
        <v/>
      </c>
      <c r="R37" s="48" t="str">
        <f t="shared" si="4"/>
        <v/>
      </c>
    </row>
    <row r="38" spans="1:18" ht="16" x14ac:dyDescent="0.2">
      <c r="A38" s="50"/>
      <c r="B38" s="47"/>
      <c r="C38" s="48" t="str">
        <f>IF(B38="","",IFERROR(INDEX(Tenants!$B$6:$B$35,MATCH(B38,Tenants!$A$6:$A$35,0)),"Unit not found"))</f>
        <v/>
      </c>
      <c r="D38" s="48" t="str">
        <f>IF(B38="","",IF(J38="Y","(vacant)",IFERROR(INDEX(Tenants!$C$6:$C$35,MATCH(B38,Tenants!$A$6:$A$35,0)),"")))</f>
        <v/>
      </c>
      <c r="E38" s="56"/>
      <c r="F38" s="56"/>
      <c r="G38" s="56"/>
      <c r="H38" s="50"/>
      <c r="I38" s="47"/>
      <c r="J38" s="47"/>
      <c r="K38" s="48" t="str">
        <f ca="1">IF(B38="","",IF(UPPER(J38)="Y","Vacant",IF(AND(G38&gt;0,G38&gt;=E38+F38),IF(AND(H38&lt;&gt;"",A38&lt;&gt;"",H38&gt;A38+Settings!$C$7),"Paid late","Paid"),IF(G38&gt;0,"Partial",IF(AND(A38&lt;&gt;"",TODAY()&gt;A38+Settings!$C$7),"Unpaid","Due")))))</f>
        <v/>
      </c>
      <c r="L38" s="52" t="str">
        <f t="shared" si="0"/>
        <v/>
      </c>
      <c r="M38" s="47"/>
      <c r="N38" s="48" t="str">
        <f t="shared" si="1"/>
        <v/>
      </c>
      <c r="O38" s="48" t="str">
        <f>IF(B38="","",COUNTIF($B$7:B38,B38))</f>
        <v/>
      </c>
      <c r="P38" s="48" t="str">
        <f t="shared" si="2"/>
        <v/>
      </c>
      <c r="Q38" s="48" t="str">
        <f t="shared" si="3"/>
        <v/>
      </c>
      <c r="R38" s="48" t="str">
        <f t="shared" si="4"/>
        <v/>
      </c>
    </row>
    <row r="39" spans="1:18" ht="16" x14ac:dyDescent="0.2">
      <c r="A39" s="50"/>
      <c r="B39" s="47"/>
      <c r="C39" s="48" t="str">
        <f>IF(B39="","",IFERROR(INDEX(Tenants!$B$6:$B$35,MATCH(B39,Tenants!$A$6:$A$35,0)),"Unit not found"))</f>
        <v/>
      </c>
      <c r="D39" s="48" t="str">
        <f>IF(B39="","",IF(J39="Y","(vacant)",IFERROR(INDEX(Tenants!$C$6:$C$35,MATCH(B39,Tenants!$A$6:$A$35,0)),"")))</f>
        <v/>
      </c>
      <c r="E39" s="56"/>
      <c r="F39" s="56"/>
      <c r="G39" s="56"/>
      <c r="H39" s="50"/>
      <c r="I39" s="47"/>
      <c r="J39" s="47"/>
      <c r="K39" s="48" t="str">
        <f ca="1">IF(B39="","",IF(UPPER(J39)="Y","Vacant",IF(AND(G39&gt;0,G39&gt;=E39+F39),IF(AND(H39&lt;&gt;"",A39&lt;&gt;"",H39&gt;A39+Settings!$C$7),"Paid late","Paid"),IF(G39&gt;0,"Partial",IF(AND(A39&lt;&gt;"",TODAY()&gt;A39+Settings!$C$7),"Unpaid","Due")))))</f>
        <v/>
      </c>
      <c r="L39" s="52" t="str">
        <f t="shared" si="0"/>
        <v/>
      </c>
      <c r="M39" s="47"/>
      <c r="N39" s="48" t="str">
        <f t="shared" si="1"/>
        <v/>
      </c>
      <c r="O39" s="48" t="str">
        <f>IF(B39="","",COUNTIF($B$7:B39,B39))</f>
        <v/>
      </c>
      <c r="P39" s="48" t="str">
        <f t="shared" si="2"/>
        <v/>
      </c>
      <c r="Q39" s="48" t="str">
        <f t="shared" si="3"/>
        <v/>
      </c>
      <c r="R39" s="48" t="str">
        <f t="shared" si="4"/>
        <v/>
      </c>
    </row>
    <row r="40" spans="1:18" ht="16" x14ac:dyDescent="0.2">
      <c r="A40" s="50"/>
      <c r="B40" s="47"/>
      <c r="C40" s="48" t="str">
        <f>IF(B40="","",IFERROR(INDEX(Tenants!$B$6:$B$35,MATCH(B40,Tenants!$A$6:$A$35,0)),"Unit not found"))</f>
        <v/>
      </c>
      <c r="D40" s="48" t="str">
        <f>IF(B40="","",IF(J40="Y","(vacant)",IFERROR(INDEX(Tenants!$C$6:$C$35,MATCH(B40,Tenants!$A$6:$A$35,0)),"")))</f>
        <v/>
      </c>
      <c r="E40" s="56"/>
      <c r="F40" s="56"/>
      <c r="G40" s="56"/>
      <c r="H40" s="50"/>
      <c r="I40" s="47"/>
      <c r="J40" s="47"/>
      <c r="K40" s="48" t="str">
        <f ca="1">IF(B40="","",IF(UPPER(J40)="Y","Vacant",IF(AND(G40&gt;0,G40&gt;=E40+F40),IF(AND(H40&lt;&gt;"",A40&lt;&gt;"",H40&gt;A40+Settings!$C$7),"Paid late","Paid"),IF(G40&gt;0,"Partial",IF(AND(A40&lt;&gt;"",TODAY()&gt;A40+Settings!$C$7),"Unpaid","Due")))))</f>
        <v/>
      </c>
      <c r="L40" s="52" t="str">
        <f t="shared" si="0"/>
        <v/>
      </c>
      <c r="M40" s="47"/>
      <c r="N40" s="48" t="str">
        <f t="shared" si="1"/>
        <v/>
      </c>
      <c r="O40" s="48" t="str">
        <f>IF(B40="","",COUNTIF($B$7:B40,B40))</f>
        <v/>
      </c>
      <c r="P40" s="48" t="str">
        <f t="shared" si="2"/>
        <v/>
      </c>
      <c r="Q40" s="48" t="str">
        <f t="shared" si="3"/>
        <v/>
      </c>
      <c r="R40" s="48" t="str">
        <f t="shared" si="4"/>
        <v/>
      </c>
    </row>
    <row r="41" spans="1:18" ht="16" x14ac:dyDescent="0.2">
      <c r="A41" s="50"/>
      <c r="B41" s="47"/>
      <c r="C41" s="48" t="str">
        <f>IF(B41="","",IFERROR(INDEX(Tenants!$B$6:$B$35,MATCH(B41,Tenants!$A$6:$A$35,0)),"Unit not found"))</f>
        <v/>
      </c>
      <c r="D41" s="48" t="str">
        <f>IF(B41="","",IF(J41="Y","(vacant)",IFERROR(INDEX(Tenants!$C$6:$C$35,MATCH(B41,Tenants!$A$6:$A$35,0)),"")))</f>
        <v/>
      </c>
      <c r="E41" s="56"/>
      <c r="F41" s="56"/>
      <c r="G41" s="56"/>
      <c r="H41" s="50"/>
      <c r="I41" s="47"/>
      <c r="J41" s="47"/>
      <c r="K41" s="48" t="str">
        <f ca="1">IF(B41="","",IF(UPPER(J41)="Y","Vacant",IF(AND(G41&gt;0,G41&gt;=E41+F41),IF(AND(H41&lt;&gt;"",A41&lt;&gt;"",H41&gt;A41+Settings!$C$7),"Paid late","Paid"),IF(G41&gt;0,"Partial",IF(AND(A41&lt;&gt;"",TODAY()&gt;A41+Settings!$C$7),"Unpaid","Due")))))</f>
        <v/>
      </c>
      <c r="L41" s="52" t="str">
        <f t="shared" si="0"/>
        <v/>
      </c>
      <c r="M41" s="47"/>
      <c r="N41" s="48" t="str">
        <f t="shared" si="1"/>
        <v/>
      </c>
      <c r="O41" s="48" t="str">
        <f>IF(B41="","",COUNTIF($B$7:B41,B41))</f>
        <v/>
      </c>
      <c r="P41" s="48" t="str">
        <f t="shared" si="2"/>
        <v/>
      </c>
      <c r="Q41" s="48" t="str">
        <f t="shared" si="3"/>
        <v/>
      </c>
      <c r="R41" s="48" t="str">
        <f t="shared" si="4"/>
        <v/>
      </c>
    </row>
    <row r="42" spans="1:18" ht="16" x14ac:dyDescent="0.2">
      <c r="A42" s="50"/>
      <c r="B42" s="47"/>
      <c r="C42" s="48" t="str">
        <f>IF(B42="","",IFERROR(INDEX(Tenants!$B$6:$B$35,MATCH(B42,Tenants!$A$6:$A$35,0)),"Unit not found"))</f>
        <v/>
      </c>
      <c r="D42" s="48" t="str">
        <f>IF(B42="","",IF(J42="Y","(vacant)",IFERROR(INDEX(Tenants!$C$6:$C$35,MATCH(B42,Tenants!$A$6:$A$35,0)),"")))</f>
        <v/>
      </c>
      <c r="E42" s="56"/>
      <c r="F42" s="56"/>
      <c r="G42" s="56"/>
      <c r="H42" s="50"/>
      <c r="I42" s="47"/>
      <c r="J42" s="47"/>
      <c r="K42" s="48" t="str">
        <f ca="1">IF(B42="","",IF(UPPER(J42)="Y","Vacant",IF(AND(G42&gt;0,G42&gt;=E42+F42),IF(AND(H42&lt;&gt;"",A42&lt;&gt;"",H42&gt;A42+Settings!$C$7),"Paid late","Paid"),IF(G42&gt;0,"Partial",IF(AND(A42&lt;&gt;"",TODAY()&gt;A42+Settings!$C$7),"Unpaid","Due")))))</f>
        <v/>
      </c>
      <c r="L42" s="52" t="str">
        <f t="shared" si="0"/>
        <v/>
      </c>
      <c r="M42" s="47"/>
      <c r="N42" s="48" t="str">
        <f t="shared" si="1"/>
        <v/>
      </c>
      <c r="O42" s="48" t="str">
        <f>IF(B42="","",COUNTIF($B$7:B42,B42))</f>
        <v/>
      </c>
      <c r="P42" s="48" t="str">
        <f t="shared" si="2"/>
        <v/>
      </c>
      <c r="Q42" s="48" t="str">
        <f t="shared" si="3"/>
        <v/>
      </c>
      <c r="R42" s="48" t="str">
        <f t="shared" si="4"/>
        <v/>
      </c>
    </row>
    <row r="43" spans="1:18" ht="16" x14ac:dyDescent="0.2">
      <c r="A43" s="50"/>
      <c r="B43" s="47"/>
      <c r="C43" s="48" t="str">
        <f>IF(B43="","",IFERROR(INDEX(Tenants!$B$6:$B$35,MATCH(B43,Tenants!$A$6:$A$35,0)),"Unit not found"))</f>
        <v/>
      </c>
      <c r="D43" s="48" t="str">
        <f>IF(B43="","",IF(J43="Y","(vacant)",IFERROR(INDEX(Tenants!$C$6:$C$35,MATCH(B43,Tenants!$A$6:$A$35,0)),"")))</f>
        <v/>
      </c>
      <c r="E43" s="56"/>
      <c r="F43" s="56"/>
      <c r="G43" s="56"/>
      <c r="H43" s="50"/>
      <c r="I43" s="47"/>
      <c r="J43" s="47"/>
      <c r="K43" s="48" t="str">
        <f ca="1">IF(B43="","",IF(UPPER(J43)="Y","Vacant",IF(AND(G43&gt;0,G43&gt;=E43+F43),IF(AND(H43&lt;&gt;"",A43&lt;&gt;"",H43&gt;A43+Settings!$C$7),"Paid late","Paid"),IF(G43&gt;0,"Partial",IF(AND(A43&lt;&gt;"",TODAY()&gt;A43+Settings!$C$7),"Unpaid","Due")))))</f>
        <v/>
      </c>
      <c r="L43" s="52" t="str">
        <f t="shared" si="0"/>
        <v/>
      </c>
      <c r="M43" s="47"/>
      <c r="N43" s="48" t="str">
        <f t="shared" si="1"/>
        <v/>
      </c>
      <c r="O43" s="48" t="str">
        <f>IF(B43="","",COUNTIF($B$7:B43,B43))</f>
        <v/>
      </c>
      <c r="P43" s="48" t="str">
        <f t="shared" si="2"/>
        <v/>
      </c>
      <c r="Q43" s="48" t="str">
        <f t="shared" si="3"/>
        <v/>
      </c>
      <c r="R43" s="48" t="str">
        <f t="shared" si="4"/>
        <v/>
      </c>
    </row>
    <row r="44" spans="1:18" ht="16" x14ac:dyDescent="0.2">
      <c r="A44" s="50"/>
      <c r="B44" s="47"/>
      <c r="C44" s="48" t="str">
        <f>IF(B44="","",IFERROR(INDEX(Tenants!$B$6:$B$35,MATCH(B44,Tenants!$A$6:$A$35,0)),"Unit not found"))</f>
        <v/>
      </c>
      <c r="D44" s="48" t="str">
        <f>IF(B44="","",IF(J44="Y","(vacant)",IFERROR(INDEX(Tenants!$C$6:$C$35,MATCH(B44,Tenants!$A$6:$A$35,0)),"")))</f>
        <v/>
      </c>
      <c r="E44" s="56"/>
      <c r="F44" s="56"/>
      <c r="G44" s="56"/>
      <c r="H44" s="50"/>
      <c r="I44" s="47"/>
      <c r="J44" s="47"/>
      <c r="K44" s="48" t="str">
        <f ca="1">IF(B44="","",IF(UPPER(J44)="Y","Vacant",IF(AND(G44&gt;0,G44&gt;=E44+F44),IF(AND(H44&lt;&gt;"",A44&lt;&gt;"",H44&gt;A44+Settings!$C$7),"Paid late","Paid"),IF(G44&gt;0,"Partial",IF(AND(A44&lt;&gt;"",TODAY()&gt;A44+Settings!$C$7),"Unpaid","Due")))))</f>
        <v/>
      </c>
      <c r="L44" s="52" t="str">
        <f t="shared" si="0"/>
        <v/>
      </c>
      <c r="M44" s="47"/>
      <c r="N44" s="48" t="str">
        <f t="shared" si="1"/>
        <v/>
      </c>
      <c r="O44" s="48" t="str">
        <f>IF(B44="","",COUNTIF($B$7:B44,B44))</f>
        <v/>
      </c>
      <c r="P44" s="48" t="str">
        <f t="shared" si="2"/>
        <v/>
      </c>
      <c r="Q44" s="48" t="str">
        <f t="shared" si="3"/>
        <v/>
      </c>
      <c r="R44" s="48" t="str">
        <f t="shared" si="4"/>
        <v/>
      </c>
    </row>
    <row r="45" spans="1:18" ht="16" x14ac:dyDescent="0.2">
      <c r="A45" s="50"/>
      <c r="B45" s="47"/>
      <c r="C45" s="48" t="str">
        <f>IF(B45="","",IFERROR(INDEX(Tenants!$B$6:$B$35,MATCH(B45,Tenants!$A$6:$A$35,0)),"Unit not found"))</f>
        <v/>
      </c>
      <c r="D45" s="48" t="str">
        <f>IF(B45="","",IF(J45="Y","(vacant)",IFERROR(INDEX(Tenants!$C$6:$C$35,MATCH(B45,Tenants!$A$6:$A$35,0)),"")))</f>
        <v/>
      </c>
      <c r="E45" s="56"/>
      <c r="F45" s="56"/>
      <c r="G45" s="56"/>
      <c r="H45" s="50"/>
      <c r="I45" s="47"/>
      <c r="J45" s="47"/>
      <c r="K45" s="48" t="str">
        <f ca="1">IF(B45="","",IF(UPPER(J45)="Y","Vacant",IF(AND(G45&gt;0,G45&gt;=E45+F45),IF(AND(H45&lt;&gt;"",A45&lt;&gt;"",H45&gt;A45+Settings!$C$7),"Paid late","Paid"),IF(G45&gt;0,"Partial",IF(AND(A45&lt;&gt;"",TODAY()&gt;A45+Settings!$C$7),"Unpaid","Due")))))</f>
        <v/>
      </c>
      <c r="L45" s="52" t="str">
        <f t="shared" si="0"/>
        <v/>
      </c>
      <c r="M45" s="47"/>
      <c r="N45" s="48" t="str">
        <f t="shared" si="1"/>
        <v/>
      </c>
      <c r="O45" s="48" t="str">
        <f>IF(B45="","",COUNTIF($B$7:B45,B45))</f>
        <v/>
      </c>
      <c r="P45" s="48" t="str">
        <f t="shared" si="2"/>
        <v/>
      </c>
      <c r="Q45" s="48" t="str">
        <f t="shared" si="3"/>
        <v/>
      </c>
      <c r="R45" s="48" t="str">
        <f t="shared" si="4"/>
        <v/>
      </c>
    </row>
    <row r="46" spans="1:18" ht="16" x14ac:dyDescent="0.2">
      <c r="A46" s="50"/>
      <c r="B46" s="47"/>
      <c r="C46" s="48" t="str">
        <f>IF(B46="","",IFERROR(INDEX(Tenants!$B$6:$B$35,MATCH(B46,Tenants!$A$6:$A$35,0)),"Unit not found"))</f>
        <v/>
      </c>
      <c r="D46" s="48" t="str">
        <f>IF(B46="","",IF(J46="Y","(vacant)",IFERROR(INDEX(Tenants!$C$6:$C$35,MATCH(B46,Tenants!$A$6:$A$35,0)),"")))</f>
        <v/>
      </c>
      <c r="E46" s="56"/>
      <c r="F46" s="56"/>
      <c r="G46" s="56"/>
      <c r="H46" s="50"/>
      <c r="I46" s="47"/>
      <c r="J46" s="47"/>
      <c r="K46" s="48" t="str">
        <f ca="1">IF(B46="","",IF(UPPER(J46)="Y","Vacant",IF(AND(G46&gt;0,G46&gt;=E46+F46),IF(AND(H46&lt;&gt;"",A46&lt;&gt;"",H46&gt;A46+Settings!$C$7),"Paid late","Paid"),IF(G46&gt;0,"Partial",IF(AND(A46&lt;&gt;"",TODAY()&gt;A46+Settings!$C$7),"Unpaid","Due")))))</f>
        <v/>
      </c>
      <c r="L46" s="52" t="str">
        <f t="shared" si="0"/>
        <v/>
      </c>
      <c r="M46" s="47"/>
      <c r="N46" s="48" t="str">
        <f t="shared" si="1"/>
        <v/>
      </c>
      <c r="O46" s="48" t="str">
        <f>IF(B46="","",COUNTIF($B$7:B46,B46))</f>
        <v/>
      </c>
      <c r="P46" s="48" t="str">
        <f t="shared" si="2"/>
        <v/>
      </c>
      <c r="Q46" s="48" t="str">
        <f t="shared" si="3"/>
        <v/>
      </c>
      <c r="R46" s="48" t="str">
        <f t="shared" si="4"/>
        <v/>
      </c>
    </row>
    <row r="47" spans="1:18" ht="16" x14ac:dyDescent="0.2">
      <c r="A47" s="50"/>
      <c r="B47" s="47"/>
      <c r="C47" s="48" t="str">
        <f>IF(B47="","",IFERROR(INDEX(Tenants!$B$6:$B$35,MATCH(B47,Tenants!$A$6:$A$35,0)),"Unit not found"))</f>
        <v/>
      </c>
      <c r="D47" s="48" t="str">
        <f>IF(B47="","",IF(J47="Y","(vacant)",IFERROR(INDEX(Tenants!$C$6:$C$35,MATCH(B47,Tenants!$A$6:$A$35,0)),"")))</f>
        <v/>
      </c>
      <c r="E47" s="56"/>
      <c r="F47" s="56"/>
      <c r="G47" s="56"/>
      <c r="H47" s="50"/>
      <c r="I47" s="47"/>
      <c r="J47" s="47"/>
      <c r="K47" s="48" t="str">
        <f ca="1">IF(B47="","",IF(UPPER(J47)="Y","Vacant",IF(AND(G47&gt;0,G47&gt;=E47+F47),IF(AND(H47&lt;&gt;"",A47&lt;&gt;"",H47&gt;A47+Settings!$C$7),"Paid late","Paid"),IF(G47&gt;0,"Partial",IF(AND(A47&lt;&gt;"",TODAY()&gt;A47+Settings!$C$7),"Unpaid","Due")))))</f>
        <v/>
      </c>
      <c r="L47" s="52" t="str">
        <f t="shared" si="0"/>
        <v/>
      </c>
      <c r="M47" s="47"/>
      <c r="N47" s="48" t="str">
        <f t="shared" si="1"/>
        <v/>
      </c>
      <c r="O47" s="48" t="str">
        <f>IF(B47="","",COUNTIF($B$7:B47,B47))</f>
        <v/>
      </c>
      <c r="P47" s="48" t="str">
        <f t="shared" si="2"/>
        <v/>
      </c>
      <c r="Q47" s="48" t="str">
        <f t="shared" si="3"/>
        <v/>
      </c>
      <c r="R47" s="48" t="str">
        <f t="shared" si="4"/>
        <v/>
      </c>
    </row>
    <row r="48" spans="1:18" ht="16" x14ac:dyDescent="0.2">
      <c r="A48" s="50"/>
      <c r="B48" s="47"/>
      <c r="C48" s="48" t="str">
        <f>IF(B48="","",IFERROR(INDEX(Tenants!$B$6:$B$35,MATCH(B48,Tenants!$A$6:$A$35,0)),"Unit not found"))</f>
        <v/>
      </c>
      <c r="D48" s="48" t="str">
        <f>IF(B48="","",IF(J48="Y","(vacant)",IFERROR(INDEX(Tenants!$C$6:$C$35,MATCH(B48,Tenants!$A$6:$A$35,0)),"")))</f>
        <v/>
      </c>
      <c r="E48" s="56"/>
      <c r="F48" s="56"/>
      <c r="G48" s="56"/>
      <c r="H48" s="50"/>
      <c r="I48" s="47"/>
      <c r="J48" s="47"/>
      <c r="K48" s="48" t="str">
        <f ca="1">IF(B48="","",IF(UPPER(J48)="Y","Vacant",IF(AND(G48&gt;0,G48&gt;=E48+F48),IF(AND(H48&lt;&gt;"",A48&lt;&gt;"",H48&gt;A48+Settings!$C$7),"Paid late","Paid"),IF(G48&gt;0,"Partial",IF(AND(A48&lt;&gt;"",TODAY()&gt;A48+Settings!$C$7),"Unpaid","Due")))))</f>
        <v/>
      </c>
      <c r="L48" s="52" t="str">
        <f t="shared" si="0"/>
        <v/>
      </c>
      <c r="M48" s="47"/>
      <c r="N48" s="48" t="str">
        <f t="shared" si="1"/>
        <v/>
      </c>
      <c r="O48" s="48" t="str">
        <f>IF(B48="","",COUNTIF($B$7:B48,B48))</f>
        <v/>
      </c>
      <c r="P48" s="48" t="str">
        <f t="shared" si="2"/>
        <v/>
      </c>
      <c r="Q48" s="48" t="str">
        <f t="shared" si="3"/>
        <v/>
      </c>
      <c r="R48" s="48" t="str">
        <f t="shared" si="4"/>
        <v/>
      </c>
    </row>
    <row r="49" spans="1:18" ht="16" x14ac:dyDescent="0.2">
      <c r="A49" s="50"/>
      <c r="B49" s="47"/>
      <c r="C49" s="48" t="str">
        <f>IF(B49="","",IFERROR(INDEX(Tenants!$B$6:$B$35,MATCH(B49,Tenants!$A$6:$A$35,0)),"Unit not found"))</f>
        <v/>
      </c>
      <c r="D49" s="48" t="str">
        <f>IF(B49="","",IF(J49="Y","(vacant)",IFERROR(INDEX(Tenants!$C$6:$C$35,MATCH(B49,Tenants!$A$6:$A$35,0)),"")))</f>
        <v/>
      </c>
      <c r="E49" s="56"/>
      <c r="F49" s="56"/>
      <c r="G49" s="56"/>
      <c r="H49" s="50"/>
      <c r="I49" s="47"/>
      <c r="J49" s="47"/>
      <c r="K49" s="48" t="str">
        <f ca="1">IF(B49="","",IF(UPPER(J49)="Y","Vacant",IF(AND(G49&gt;0,G49&gt;=E49+F49),IF(AND(H49&lt;&gt;"",A49&lt;&gt;"",H49&gt;A49+Settings!$C$7),"Paid late","Paid"),IF(G49&gt;0,"Partial",IF(AND(A49&lt;&gt;"",TODAY()&gt;A49+Settings!$C$7),"Unpaid","Due")))))</f>
        <v/>
      </c>
      <c r="L49" s="52" t="str">
        <f t="shared" si="0"/>
        <v/>
      </c>
      <c r="M49" s="47"/>
      <c r="N49" s="48" t="str">
        <f t="shared" si="1"/>
        <v/>
      </c>
      <c r="O49" s="48" t="str">
        <f>IF(B49="","",COUNTIF($B$7:B49,B49))</f>
        <v/>
      </c>
      <c r="P49" s="48" t="str">
        <f t="shared" si="2"/>
        <v/>
      </c>
      <c r="Q49" s="48" t="str">
        <f t="shared" si="3"/>
        <v/>
      </c>
      <c r="R49" s="48" t="str">
        <f t="shared" si="4"/>
        <v/>
      </c>
    </row>
    <row r="50" spans="1:18" ht="16" x14ac:dyDescent="0.2">
      <c r="A50" s="50"/>
      <c r="B50" s="47"/>
      <c r="C50" s="48" t="str">
        <f>IF(B50="","",IFERROR(INDEX(Tenants!$B$6:$B$35,MATCH(B50,Tenants!$A$6:$A$35,0)),"Unit not found"))</f>
        <v/>
      </c>
      <c r="D50" s="48" t="str">
        <f>IF(B50="","",IF(J50="Y","(vacant)",IFERROR(INDEX(Tenants!$C$6:$C$35,MATCH(B50,Tenants!$A$6:$A$35,0)),"")))</f>
        <v/>
      </c>
      <c r="E50" s="56"/>
      <c r="F50" s="56"/>
      <c r="G50" s="56"/>
      <c r="H50" s="50"/>
      <c r="I50" s="47"/>
      <c r="J50" s="47"/>
      <c r="K50" s="48" t="str">
        <f ca="1">IF(B50="","",IF(UPPER(J50)="Y","Vacant",IF(AND(G50&gt;0,G50&gt;=E50+F50),IF(AND(H50&lt;&gt;"",A50&lt;&gt;"",H50&gt;A50+Settings!$C$7),"Paid late","Paid"),IF(G50&gt;0,"Partial",IF(AND(A50&lt;&gt;"",TODAY()&gt;A50+Settings!$C$7),"Unpaid","Due")))))</f>
        <v/>
      </c>
      <c r="L50" s="52" t="str">
        <f t="shared" si="0"/>
        <v/>
      </c>
      <c r="M50" s="47"/>
      <c r="N50" s="48" t="str">
        <f t="shared" si="1"/>
        <v/>
      </c>
      <c r="O50" s="48" t="str">
        <f>IF(B50="","",COUNTIF($B$7:B50,B50))</f>
        <v/>
      </c>
      <c r="P50" s="48" t="str">
        <f t="shared" si="2"/>
        <v/>
      </c>
      <c r="Q50" s="48" t="str">
        <f t="shared" si="3"/>
        <v/>
      </c>
      <c r="R50" s="48" t="str">
        <f t="shared" si="4"/>
        <v/>
      </c>
    </row>
    <row r="51" spans="1:18" ht="16" x14ac:dyDescent="0.2">
      <c r="A51" s="50"/>
      <c r="B51" s="47"/>
      <c r="C51" s="48" t="str">
        <f>IF(B51="","",IFERROR(INDEX(Tenants!$B$6:$B$35,MATCH(B51,Tenants!$A$6:$A$35,0)),"Unit not found"))</f>
        <v/>
      </c>
      <c r="D51" s="48" t="str">
        <f>IF(B51="","",IF(J51="Y","(vacant)",IFERROR(INDEX(Tenants!$C$6:$C$35,MATCH(B51,Tenants!$A$6:$A$35,0)),"")))</f>
        <v/>
      </c>
      <c r="E51" s="56"/>
      <c r="F51" s="56"/>
      <c r="G51" s="56"/>
      <c r="H51" s="50"/>
      <c r="I51" s="47"/>
      <c r="J51" s="47"/>
      <c r="K51" s="48" t="str">
        <f ca="1">IF(B51="","",IF(UPPER(J51)="Y","Vacant",IF(AND(G51&gt;0,G51&gt;=E51+F51),IF(AND(H51&lt;&gt;"",A51&lt;&gt;"",H51&gt;A51+Settings!$C$7),"Paid late","Paid"),IF(G51&gt;0,"Partial",IF(AND(A51&lt;&gt;"",TODAY()&gt;A51+Settings!$C$7),"Unpaid","Due")))))</f>
        <v/>
      </c>
      <c r="L51" s="52" t="str">
        <f t="shared" si="0"/>
        <v/>
      </c>
      <c r="M51" s="47"/>
      <c r="N51" s="48" t="str">
        <f t="shared" si="1"/>
        <v/>
      </c>
      <c r="O51" s="48" t="str">
        <f>IF(B51="","",COUNTIF($B$7:B51,B51))</f>
        <v/>
      </c>
      <c r="P51" s="48" t="str">
        <f t="shared" si="2"/>
        <v/>
      </c>
      <c r="Q51" s="48" t="str">
        <f t="shared" si="3"/>
        <v/>
      </c>
      <c r="R51" s="48" t="str">
        <f t="shared" si="4"/>
        <v/>
      </c>
    </row>
    <row r="52" spans="1:18" ht="16" x14ac:dyDescent="0.2">
      <c r="A52" s="50"/>
      <c r="B52" s="47"/>
      <c r="C52" s="48" t="str">
        <f>IF(B52="","",IFERROR(INDEX(Tenants!$B$6:$B$35,MATCH(B52,Tenants!$A$6:$A$35,0)),"Unit not found"))</f>
        <v/>
      </c>
      <c r="D52" s="48" t="str">
        <f>IF(B52="","",IF(J52="Y","(vacant)",IFERROR(INDEX(Tenants!$C$6:$C$35,MATCH(B52,Tenants!$A$6:$A$35,0)),"")))</f>
        <v/>
      </c>
      <c r="E52" s="56"/>
      <c r="F52" s="56"/>
      <c r="G52" s="56"/>
      <c r="H52" s="50"/>
      <c r="I52" s="47"/>
      <c r="J52" s="47"/>
      <c r="K52" s="48" t="str">
        <f ca="1">IF(B52="","",IF(UPPER(J52)="Y","Vacant",IF(AND(G52&gt;0,G52&gt;=E52+F52),IF(AND(H52&lt;&gt;"",A52&lt;&gt;"",H52&gt;A52+Settings!$C$7),"Paid late","Paid"),IF(G52&gt;0,"Partial",IF(AND(A52&lt;&gt;"",TODAY()&gt;A52+Settings!$C$7),"Unpaid","Due")))))</f>
        <v/>
      </c>
      <c r="L52" s="52" t="str">
        <f t="shared" si="0"/>
        <v/>
      </c>
      <c r="M52" s="47"/>
      <c r="N52" s="48" t="str">
        <f t="shared" si="1"/>
        <v/>
      </c>
      <c r="O52" s="48" t="str">
        <f>IF(B52="","",COUNTIF($B$7:B52,B52))</f>
        <v/>
      </c>
      <c r="P52" s="48" t="str">
        <f t="shared" si="2"/>
        <v/>
      </c>
      <c r="Q52" s="48" t="str">
        <f t="shared" si="3"/>
        <v/>
      </c>
      <c r="R52" s="48" t="str">
        <f t="shared" si="4"/>
        <v/>
      </c>
    </row>
    <row r="53" spans="1:18" ht="16" x14ac:dyDescent="0.2">
      <c r="A53" s="50"/>
      <c r="B53" s="47"/>
      <c r="C53" s="48" t="str">
        <f>IF(B53="","",IFERROR(INDEX(Tenants!$B$6:$B$35,MATCH(B53,Tenants!$A$6:$A$35,0)),"Unit not found"))</f>
        <v/>
      </c>
      <c r="D53" s="48" t="str">
        <f>IF(B53="","",IF(J53="Y","(vacant)",IFERROR(INDEX(Tenants!$C$6:$C$35,MATCH(B53,Tenants!$A$6:$A$35,0)),"")))</f>
        <v/>
      </c>
      <c r="E53" s="56"/>
      <c r="F53" s="56"/>
      <c r="G53" s="56"/>
      <c r="H53" s="50"/>
      <c r="I53" s="47"/>
      <c r="J53" s="47"/>
      <c r="K53" s="48" t="str">
        <f ca="1">IF(B53="","",IF(UPPER(J53)="Y","Vacant",IF(AND(G53&gt;0,G53&gt;=E53+F53),IF(AND(H53&lt;&gt;"",A53&lt;&gt;"",H53&gt;A53+Settings!$C$7),"Paid late","Paid"),IF(G53&gt;0,"Partial",IF(AND(A53&lt;&gt;"",TODAY()&gt;A53+Settings!$C$7),"Unpaid","Due")))))</f>
        <v/>
      </c>
      <c r="L53" s="52" t="str">
        <f t="shared" si="0"/>
        <v/>
      </c>
      <c r="M53" s="47"/>
      <c r="N53" s="48" t="str">
        <f t="shared" si="1"/>
        <v/>
      </c>
      <c r="O53" s="48" t="str">
        <f>IF(B53="","",COUNTIF($B$7:B53,B53))</f>
        <v/>
      </c>
      <c r="P53" s="48" t="str">
        <f t="shared" si="2"/>
        <v/>
      </c>
      <c r="Q53" s="48" t="str">
        <f t="shared" si="3"/>
        <v/>
      </c>
      <c r="R53" s="48" t="str">
        <f t="shared" si="4"/>
        <v/>
      </c>
    </row>
    <row r="54" spans="1:18" ht="16" x14ac:dyDescent="0.2">
      <c r="A54" s="50"/>
      <c r="B54" s="47"/>
      <c r="C54" s="48" t="str">
        <f>IF(B54="","",IFERROR(INDEX(Tenants!$B$6:$B$35,MATCH(B54,Tenants!$A$6:$A$35,0)),"Unit not found"))</f>
        <v/>
      </c>
      <c r="D54" s="48" t="str">
        <f>IF(B54="","",IF(J54="Y","(vacant)",IFERROR(INDEX(Tenants!$C$6:$C$35,MATCH(B54,Tenants!$A$6:$A$35,0)),"")))</f>
        <v/>
      </c>
      <c r="E54" s="56"/>
      <c r="F54" s="56"/>
      <c r="G54" s="56"/>
      <c r="H54" s="50"/>
      <c r="I54" s="47"/>
      <c r="J54" s="47"/>
      <c r="K54" s="48" t="str">
        <f ca="1">IF(B54="","",IF(UPPER(J54)="Y","Vacant",IF(AND(G54&gt;0,G54&gt;=E54+F54),IF(AND(H54&lt;&gt;"",A54&lt;&gt;"",H54&gt;A54+Settings!$C$7),"Paid late","Paid"),IF(G54&gt;0,"Partial",IF(AND(A54&lt;&gt;"",TODAY()&gt;A54+Settings!$C$7),"Unpaid","Due")))))</f>
        <v/>
      </c>
      <c r="L54" s="52" t="str">
        <f t="shared" si="0"/>
        <v/>
      </c>
      <c r="M54" s="47"/>
      <c r="N54" s="48" t="str">
        <f t="shared" si="1"/>
        <v/>
      </c>
      <c r="O54" s="48" t="str">
        <f>IF(B54="","",COUNTIF($B$7:B54,B54))</f>
        <v/>
      </c>
      <c r="P54" s="48" t="str">
        <f t="shared" si="2"/>
        <v/>
      </c>
      <c r="Q54" s="48" t="str">
        <f t="shared" si="3"/>
        <v/>
      </c>
      <c r="R54" s="48" t="str">
        <f t="shared" si="4"/>
        <v/>
      </c>
    </row>
    <row r="55" spans="1:18" ht="16" x14ac:dyDescent="0.2">
      <c r="A55" s="50"/>
      <c r="B55" s="47"/>
      <c r="C55" s="48" t="str">
        <f>IF(B55="","",IFERROR(INDEX(Tenants!$B$6:$B$35,MATCH(B55,Tenants!$A$6:$A$35,0)),"Unit not found"))</f>
        <v/>
      </c>
      <c r="D55" s="48" t="str">
        <f>IF(B55="","",IF(J55="Y","(vacant)",IFERROR(INDEX(Tenants!$C$6:$C$35,MATCH(B55,Tenants!$A$6:$A$35,0)),"")))</f>
        <v/>
      </c>
      <c r="E55" s="56"/>
      <c r="F55" s="56"/>
      <c r="G55" s="56"/>
      <c r="H55" s="50"/>
      <c r="I55" s="47"/>
      <c r="J55" s="47"/>
      <c r="K55" s="48" t="str">
        <f ca="1">IF(B55="","",IF(UPPER(J55)="Y","Vacant",IF(AND(G55&gt;0,G55&gt;=E55+F55),IF(AND(H55&lt;&gt;"",A55&lt;&gt;"",H55&gt;A55+Settings!$C$7),"Paid late","Paid"),IF(G55&gt;0,"Partial",IF(AND(A55&lt;&gt;"",TODAY()&gt;A55+Settings!$C$7),"Unpaid","Due")))))</f>
        <v/>
      </c>
      <c r="L55" s="52" t="str">
        <f t="shared" si="0"/>
        <v/>
      </c>
      <c r="M55" s="47"/>
      <c r="N55" s="48" t="str">
        <f t="shared" si="1"/>
        <v/>
      </c>
      <c r="O55" s="48" t="str">
        <f>IF(B55="","",COUNTIF($B$7:B55,B55))</f>
        <v/>
      </c>
      <c r="P55" s="48" t="str">
        <f t="shared" si="2"/>
        <v/>
      </c>
      <c r="Q55" s="48" t="str">
        <f t="shared" si="3"/>
        <v/>
      </c>
      <c r="R55" s="48" t="str">
        <f t="shared" si="4"/>
        <v/>
      </c>
    </row>
    <row r="56" spans="1:18" ht="16" x14ac:dyDescent="0.2">
      <c r="A56" s="50"/>
      <c r="B56" s="47"/>
      <c r="C56" s="48" t="str">
        <f>IF(B56="","",IFERROR(INDEX(Tenants!$B$6:$B$35,MATCH(B56,Tenants!$A$6:$A$35,0)),"Unit not found"))</f>
        <v/>
      </c>
      <c r="D56" s="48" t="str">
        <f>IF(B56="","",IF(J56="Y","(vacant)",IFERROR(INDEX(Tenants!$C$6:$C$35,MATCH(B56,Tenants!$A$6:$A$35,0)),"")))</f>
        <v/>
      </c>
      <c r="E56" s="56"/>
      <c r="F56" s="56"/>
      <c r="G56" s="56"/>
      <c r="H56" s="50"/>
      <c r="I56" s="47"/>
      <c r="J56" s="47"/>
      <c r="K56" s="48" t="str">
        <f ca="1">IF(B56="","",IF(UPPER(J56)="Y","Vacant",IF(AND(G56&gt;0,G56&gt;=E56+F56),IF(AND(H56&lt;&gt;"",A56&lt;&gt;"",H56&gt;A56+Settings!$C$7),"Paid late","Paid"),IF(G56&gt;0,"Partial",IF(AND(A56&lt;&gt;"",TODAY()&gt;A56+Settings!$C$7),"Unpaid","Due")))))</f>
        <v/>
      </c>
      <c r="L56" s="52" t="str">
        <f t="shared" si="0"/>
        <v/>
      </c>
      <c r="M56" s="47"/>
      <c r="N56" s="48" t="str">
        <f t="shared" si="1"/>
        <v/>
      </c>
      <c r="O56" s="48" t="str">
        <f>IF(B56="","",COUNTIF($B$7:B56,B56))</f>
        <v/>
      </c>
      <c r="P56" s="48" t="str">
        <f t="shared" si="2"/>
        <v/>
      </c>
      <c r="Q56" s="48" t="str">
        <f t="shared" si="3"/>
        <v/>
      </c>
      <c r="R56" s="48" t="str">
        <f t="shared" si="4"/>
        <v/>
      </c>
    </row>
    <row r="57" spans="1:18" ht="16" x14ac:dyDescent="0.2">
      <c r="A57" s="50"/>
      <c r="B57" s="47"/>
      <c r="C57" s="48" t="str">
        <f>IF(B57="","",IFERROR(INDEX(Tenants!$B$6:$B$35,MATCH(B57,Tenants!$A$6:$A$35,0)),"Unit not found"))</f>
        <v/>
      </c>
      <c r="D57" s="48" t="str">
        <f>IF(B57="","",IF(J57="Y","(vacant)",IFERROR(INDEX(Tenants!$C$6:$C$35,MATCH(B57,Tenants!$A$6:$A$35,0)),"")))</f>
        <v/>
      </c>
      <c r="E57" s="56"/>
      <c r="F57" s="56"/>
      <c r="G57" s="56"/>
      <c r="H57" s="50"/>
      <c r="I57" s="47"/>
      <c r="J57" s="47"/>
      <c r="K57" s="48" t="str">
        <f ca="1">IF(B57="","",IF(UPPER(J57)="Y","Vacant",IF(AND(G57&gt;0,G57&gt;=E57+F57),IF(AND(H57&lt;&gt;"",A57&lt;&gt;"",H57&gt;A57+Settings!$C$7),"Paid late","Paid"),IF(G57&gt;0,"Partial",IF(AND(A57&lt;&gt;"",TODAY()&gt;A57+Settings!$C$7),"Unpaid","Due")))))</f>
        <v/>
      </c>
      <c r="L57" s="52" t="str">
        <f t="shared" si="0"/>
        <v/>
      </c>
      <c r="M57" s="47"/>
      <c r="N57" s="48" t="str">
        <f t="shared" si="1"/>
        <v/>
      </c>
      <c r="O57" s="48" t="str">
        <f>IF(B57="","",COUNTIF($B$7:B57,B57))</f>
        <v/>
      </c>
      <c r="P57" s="48" t="str">
        <f t="shared" si="2"/>
        <v/>
      </c>
      <c r="Q57" s="48" t="str">
        <f t="shared" si="3"/>
        <v/>
      </c>
      <c r="R57" s="48" t="str">
        <f t="shared" si="4"/>
        <v/>
      </c>
    </row>
    <row r="58" spans="1:18" ht="16" x14ac:dyDescent="0.2">
      <c r="A58" s="50"/>
      <c r="B58" s="47"/>
      <c r="C58" s="48" t="str">
        <f>IF(B58="","",IFERROR(INDEX(Tenants!$B$6:$B$35,MATCH(B58,Tenants!$A$6:$A$35,0)),"Unit not found"))</f>
        <v/>
      </c>
      <c r="D58" s="48" t="str">
        <f>IF(B58="","",IF(J58="Y","(vacant)",IFERROR(INDEX(Tenants!$C$6:$C$35,MATCH(B58,Tenants!$A$6:$A$35,0)),"")))</f>
        <v/>
      </c>
      <c r="E58" s="56"/>
      <c r="F58" s="56"/>
      <c r="G58" s="56"/>
      <c r="H58" s="50"/>
      <c r="I58" s="47"/>
      <c r="J58" s="47"/>
      <c r="K58" s="48" t="str">
        <f ca="1">IF(B58="","",IF(UPPER(J58)="Y","Vacant",IF(AND(G58&gt;0,G58&gt;=E58+F58),IF(AND(H58&lt;&gt;"",A58&lt;&gt;"",H58&gt;A58+Settings!$C$7),"Paid late","Paid"),IF(G58&gt;0,"Partial",IF(AND(A58&lt;&gt;"",TODAY()&gt;A58+Settings!$C$7),"Unpaid","Due")))))</f>
        <v/>
      </c>
      <c r="L58" s="52" t="str">
        <f t="shared" si="0"/>
        <v/>
      </c>
      <c r="M58" s="47"/>
      <c r="N58" s="48" t="str">
        <f t="shared" si="1"/>
        <v/>
      </c>
      <c r="O58" s="48" t="str">
        <f>IF(B58="","",COUNTIF($B$7:B58,B58))</f>
        <v/>
      </c>
      <c r="P58" s="48" t="str">
        <f t="shared" si="2"/>
        <v/>
      </c>
      <c r="Q58" s="48" t="str">
        <f t="shared" si="3"/>
        <v/>
      </c>
      <c r="R58" s="48" t="str">
        <f t="shared" si="4"/>
        <v/>
      </c>
    </row>
    <row r="59" spans="1:18" ht="16" x14ac:dyDescent="0.2">
      <c r="A59" s="50"/>
      <c r="B59" s="47"/>
      <c r="C59" s="48" t="str">
        <f>IF(B59="","",IFERROR(INDEX(Tenants!$B$6:$B$35,MATCH(B59,Tenants!$A$6:$A$35,0)),"Unit not found"))</f>
        <v/>
      </c>
      <c r="D59" s="48" t="str">
        <f>IF(B59="","",IF(J59="Y","(vacant)",IFERROR(INDEX(Tenants!$C$6:$C$35,MATCH(B59,Tenants!$A$6:$A$35,0)),"")))</f>
        <v/>
      </c>
      <c r="E59" s="56"/>
      <c r="F59" s="56"/>
      <c r="G59" s="56"/>
      <c r="H59" s="50"/>
      <c r="I59" s="47"/>
      <c r="J59" s="47"/>
      <c r="K59" s="48" t="str">
        <f ca="1">IF(B59="","",IF(UPPER(J59)="Y","Vacant",IF(AND(G59&gt;0,G59&gt;=E59+F59),IF(AND(H59&lt;&gt;"",A59&lt;&gt;"",H59&gt;A59+Settings!$C$7),"Paid late","Paid"),IF(G59&gt;0,"Partial",IF(AND(A59&lt;&gt;"",TODAY()&gt;A59+Settings!$C$7),"Unpaid","Due")))))</f>
        <v/>
      </c>
      <c r="L59" s="52" t="str">
        <f t="shared" si="0"/>
        <v/>
      </c>
      <c r="M59" s="47"/>
      <c r="N59" s="48" t="str">
        <f t="shared" si="1"/>
        <v/>
      </c>
      <c r="O59" s="48" t="str">
        <f>IF(B59="","",COUNTIF($B$7:B59,B59))</f>
        <v/>
      </c>
      <c r="P59" s="48" t="str">
        <f t="shared" si="2"/>
        <v/>
      </c>
      <c r="Q59" s="48" t="str">
        <f t="shared" si="3"/>
        <v/>
      </c>
      <c r="R59" s="48" t="str">
        <f t="shared" si="4"/>
        <v/>
      </c>
    </row>
    <row r="60" spans="1:18" ht="16" x14ac:dyDescent="0.2">
      <c r="A60" s="50"/>
      <c r="B60" s="47"/>
      <c r="C60" s="48" t="str">
        <f>IF(B60="","",IFERROR(INDEX(Tenants!$B$6:$B$35,MATCH(B60,Tenants!$A$6:$A$35,0)),"Unit not found"))</f>
        <v/>
      </c>
      <c r="D60" s="48" t="str">
        <f>IF(B60="","",IF(J60="Y","(vacant)",IFERROR(INDEX(Tenants!$C$6:$C$35,MATCH(B60,Tenants!$A$6:$A$35,0)),"")))</f>
        <v/>
      </c>
      <c r="E60" s="56"/>
      <c r="F60" s="56"/>
      <c r="G60" s="56"/>
      <c r="H60" s="50"/>
      <c r="I60" s="47"/>
      <c r="J60" s="47"/>
      <c r="K60" s="48" t="str">
        <f ca="1">IF(B60="","",IF(UPPER(J60)="Y","Vacant",IF(AND(G60&gt;0,G60&gt;=E60+F60),IF(AND(H60&lt;&gt;"",A60&lt;&gt;"",H60&gt;A60+Settings!$C$7),"Paid late","Paid"),IF(G60&gt;0,"Partial",IF(AND(A60&lt;&gt;"",TODAY()&gt;A60+Settings!$C$7),"Unpaid","Due")))))</f>
        <v/>
      </c>
      <c r="L60" s="52" t="str">
        <f t="shared" si="0"/>
        <v/>
      </c>
      <c r="M60" s="47"/>
      <c r="N60" s="48" t="str">
        <f t="shared" si="1"/>
        <v/>
      </c>
      <c r="O60" s="48" t="str">
        <f>IF(B60="","",COUNTIF($B$7:B60,B60))</f>
        <v/>
      </c>
      <c r="P60" s="48" t="str">
        <f t="shared" si="2"/>
        <v/>
      </c>
      <c r="Q60" s="48" t="str">
        <f t="shared" si="3"/>
        <v/>
      </c>
      <c r="R60" s="48" t="str">
        <f t="shared" si="4"/>
        <v/>
      </c>
    </row>
    <row r="61" spans="1:18" ht="16" x14ac:dyDescent="0.2">
      <c r="A61" s="50"/>
      <c r="B61" s="47"/>
      <c r="C61" s="48" t="str">
        <f>IF(B61="","",IFERROR(INDEX(Tenants!$B$6:$B$35,MATCH(B61,Tenants!$A$6:$A$35,0)),"Unit not found"))</f>
        <v/>
      </c>
      <c r="D61" s="48" t="str">
        <f>IF(B61="","",IF(J61="Y","(vacant)",IFERROR(INDEX(Tenants!$C$6:$C$35,MATCH(B61,Tenants!$A$6:$A$35,0)),"")))</f>
        <v/>
      </c>
      <c r="E61" s="56"/>
      <c r="F61" s="56"/>
      <c r="G61" s="56"/>
      <c r="H61" s="50"/>
      <c r="I61" s="47"/>
      <c r="J61" s="47"/>
      <c r="K61" s="48" t="str">
        <f ca="1">IF(B61="","",IF(UPPER(J61)="Y","Vacant",IF(AND(G61&gt;0,G61&gt;=E61+F61),IF(AND(H61&lt;&gt;"",A61&lt;&gt;"",H61&gt;A61+Settings!$C$7),"Paid late","Paid"),IF(G61&gt;0,"Partial",IF(AND(A61&lt;&gt;"",TODAY()&gt;A61+Settings!$C$7),"Unpaid","Due")))))</f>
        <v/>
      </c>
      <c r="L61" s="52" t="str">
        <f t="shared" si="0"/>
        <v/>
      </c>
      <c r="M61" s="47"/>
      <c r="N61" s="48" t="str">
        <f t="shared" si="1"/>
        <v/>
      </c>
      <c r="O61" s="48" t="str">
        <f>IF(B61="","",COUNTIF($B$7:B61,B61))</f>
        <v/>
      </c>
      <c r="P61" s="48" t="str">
        <f t="shared" si="2"/>
        <v/>
      </c>
      <c r="Q61" s="48" t="str">
        <f t="shared" si="3"/>
        <v/>
      </c>
      <c r="R61" s="48" t="str">
        <f t="shared" si="4"/>
        <v/>
      </c>
    </row>
    <row r="62" spans="1:18" ht="16" x14ac:dyDescent="0.2">
      <c r="A62" s="50"/>
      <c r="B62" s="47"/>
      <c r="C62" s="48" t="str">
        <f>IF(B62="","",IFERROR(INDEX(Tenants!$B$6:$B$35,MATCH(B62,Tenants!$A$6:$A$35,0)),"Unit not found"))</f>
        <v/>
      </c>
      <c r="D62" s="48" t="str">
        <f>IF(B62="","",IF(J62="Y","(vacant)",IFERROR(INDEX(Tenants!$C$6:$C$35,MATCH(B62,Tenants!$A$6:$A$35,0)),"")))</f>
        <v/>
      </c>
      <c r="E62" s="56"/>
      <c r="F62" s="56"/>
      <c r="G62" s="56"/>
      <c r="H62" s="50"/>
      <c r="I62" s="47"/>
      <c r="J62" s="47"/>
      <c r="K62" s="48" t="str">
        <f ca="1">IF(B62="","",IF(UPPER(J62)="Y","Vacant",IF(AND(G62&gt;0,G62&gt;=E62+F62),IF(AND(H62&lt;&gt;"",A62&lt;&gt;"",H62&gt;A62+Settings!$C$7),"Paid late","Paid"),IF(G62&gt;0,"Partial",IF(AND(A62&lt;&gt;"",TODAY()&gt;A62+Settings!$C$7),"Unpaid","Due")))))</f>
        <v/>
      </c>
      <c r="L62" s="52" t="str">
        <f t="shared" si="0"/>
        <v/>
      </c>
      <c r="M62" s="47"/>
      <c r="N62" s="48" t="str">
        <f t="shared" si="1"/>
        <v/>
      </c>
      <c r="O62" s="48" t="str">
        <f>IF(B62="","",COUNTIF($B$7:B62,B62))</f>
        <v/>
      </c>
      <c r="P62" s="48" t="str">
        <f t="shared" si="2"/>
        <v/>
      </c>
      <c r="Q62" s="48" t="str">
        <f t="shared" si="3"/>
        <v/>
      </c>
      <c r="R62" s="48" t="str">
        <f t="shared" si="4"/>
        <v/>
      </c>
    </row>
    <row r="63" spans="1:18" ht="16" x14ac:dyDescent="0.2">
      <c r="A63" s="50"/>
      <c r="B63" s="47"/>
      <c r="C63" s="48" t="str">
        <f>IF(B63="","",IFERROR(INDEX(Tenants!$B$6:$B$35,MATCH(B63,Tenants!$A$6:$A$35,0)),"Unit not found"))</f>
        <v/>
      </c>
      <c r="D63" s="48" t="str">
        <f>IF(B63="","",IF(J63="Y","(vacant)",IFERROR(INDEX(Tenants!$C$6:$C$35,MATCH(B63,Tenants!$A$6:$A$35,0)),"")))</f>
        <v/>
      </c>
      <c r="E63" s="56"/>
      <c r="F63" s="56"/>
      <c r="G63" s="56"/>
      <c r="H63" s="50"/>
      <c r="I63" s="47"/>
      <c r="J63" s="47"/>
      <c r="K63" s="48" t="str">
        <f ca="1">IF(B63="","",IF(UPPER(J63)="Y","Vacant",IF(AND(G63&gt;0,G63&gt;=E63+F63),IF(AND(H63&lt;&gt;"",A63&lt;&gt;"",H63&gt;A63+Settings!$C$7),"Paid late","Paid"),IF(G63&gt;0,"Partial",IF(AND(A63&lt;&gt;"",TODAY()&gt;A63+Settings!$C$7),"Unpaid","Due")))))</f>
        <v/>
      </c>
      <c r="L63" s="52" t="str">
        <f t="shared" si="0"/>
        <v/>
      </c>
      <c r="M63" s="47"/>
      <c r="N63" s="48" t="str">
        <f t="shared" si="1"/>
        <v/>
      </c>
      <c r="O63" s="48" t="str">
        <f>IF(B63="","",COUNTIF($B$7:B63,B63))</f>
        <v/>
      </c>
      <c r="P63" s="48" t="str">
        <f t="shared" si="2"/>
        <v/>
      </c>
      <c r="Q63" s="48" t="str">
        <f t="shared" si="3"/>
        <v/>
      </c>
      <c r="R63" s="48" t="str">
        <f t="shared" si="4"/>
        <v/>
      </c>
    </row>
    <row r="64" spans="1:18" ht="16" x14ac:dyDescent="0.2">
      <c r="A64" s="50"/>
      <c r="B64" s="47"/>
      <c r="C64" s="48" t="str">
        <f>IF(B64="","",IFERROR(INDEX(Tenants!$B$6:$B$35,MATCH(B64,Tenants!$A$6:$A$35,0)),"Unit not found"))</f>
        <v/>
      </c>
      <c r="D64" s="48" t="str">
        <f>IF(B64="","",IF(J64="Y","(vacant)",IFERROR(INDEX(Tenants!$C$6:$C$35,MATCH(B64,Tenants!$A$6:$A$35,0)),"")))</f>
        <v/>
      </c>
      <c r="E64" s="56"/>
      <c r="F64" s="56"/>
      <c r="G64" s="56"/>
      <c r="H64" s="50"/>
      <c r="I64" s="47"/>
      <c r="J64" s="47"/>
      <c r="K64" s="48" t="str">
        <f ca="1">IF(B64="","",IF(UPPER(J64)="Y","Vacant",IF(AND(G64&gt;0,G64&gt;=E64+F64),IF(AND(H64&lt;&gt;"",A64&lt;&gt;"",H64&gt;A64+Settings!$C$7),"Paid late","Paid"),IF(G64&gt;0,"Partial",IF(AND(A64&lt;&gt;"",TODAY()&gt;A64+Settings!$C$7),"Unpaid","Due")))))</f>
        <v/>
      </c>
      <c r="L64" s="52" t="str">
        <f t="shared" si="0"/>
        <v/>
      </c>
      <c r="M64" s="47"/>
      <c r="N64" s="48" t="str">
        <f t="shared" si="1"/>
        <v/>
      </c>
      <c r="O64" s="48" t="str">
        <f>IF(B64="","",COUNTIF($B$7:B64,B64))</f>
        <v/>
      </c>
      <c r="P64" s="48" t="str">
        <f t="shared" si="2"/>
        <v/>
      </c>
      <c r="Q64" s="48" t="str">
        <f t="shared" si="3"/>
        <v/>
      </c>
      <c r="R64" s="48" t="str">
        <f t="shared" si="4"/>
        <v/>
      </c>
    </row>
    <row r="65" spans="1:18" ht="16" x14ac:dyDescent="0.2">
      <c r="A65" s="50"/>
      <c r="B65" s="47"/>
      <c r="C65" s="48" t="str">
        <f>IF(B65="","",IFERROR(INDEX(Tenants!$B$6:$B$35,MATCH(B65,Tenants!$A$6:$A$35,0)),"Unit not found"))</f>
        <v/>
      </c>
      <c r="D65" s="48" t="str">
        <f>IF(B65="","",IF(J65="Y","(vacant)",IFERROR(INDEX(Tenants!$C$6:$C$35,MATCH(B65,Tenants!$A$6:$A$35,0)),"")))</f>
        <v/>
      </c>
      <c r="E65" s="56"/>
      <c r="F65" s="56"/>
      <c r="G65" s="56"/>
      <c r="H65" s="50"/>
      <c r="I65" s="47"/>
      <c r="J65" s="47"/>
      <c r="K65" s="48" t="str">
        <f ca="1">IF(B65="","",IF(UPPER(J65)="Y","Vacant",IF(AND(G65&gt;0,G65&gt;=E65+F65),IF(AND(H65&lt;&gt;"",A65&lt;&gt;"",H65&gt;A65+Settings!$C$7),"Paid late","Paid"),IF(G65&gt;0,"Partial",IF(AND(A65&lt;&gt;"",TODAY()&gt;A65+Settings!$C$7),"Unpaid","Due")))))</f>
        <v/>
      </c>
      <c r="L65" s="52" t="str">
        <f t="shared" si="0"/>
        <v/>
      </c>
      <c r="M65" s="47"/>
      <c r="N65" s="48" t="str">
        <f t="shared" si="1"/>
        <v/>
      </c>
      <c r="O65" s="48" t="str">
        <f>IF(B65="","",COUNTIF($B$7:B65,B65))</f>
        <v/>
      </c>
      <c r="P65" s="48" t="str">
        <f t="shared" si="2"/>
        <v/>
      </c>
      <c r="Q65" s="48" t="str">
        <f t="shared" si="3"/>
        <v/>
      </c>
      <c r="R65" s="48" t="str">
        <f t="shared" si="4"/>
        <v/>
      </c>
    </row>
    <row r="66" spans="1:18" ht="16" x14ac:dyDescent="0.2">
      <c r="A66" s="50"/>
      <c r="B66" s="47"/>
      <c r="C66" s="48" t="str">
        <f>IF(B66="","",IFERROR(INDEX(Tenants!$B$6:$B$35,MATCH(B66,Tenants!$A$6:$A$35,0)),"Unit not found"))</f>
        <v/>
      </c>
      <c r="D66" s="48" t="str">
        <f>IF(B66="","",IF(J66="Y","(vacant)",IFERROR(INDEX(Tenants!$C$6:$C$35,MATCH(B66,Tenants!$A$6:$A$35,0)),"")))</f>
        <v/>
      </c>
      <c r="E66" s="56"/>
      <c r="F66" s="56"/>
      <c r="G66" s="56"/>
      <c r="H66" s="50"/>
      <c r="I66" s="47"/>
      <c r="J66" s="47"/>
      <c r="K66" s="48" t="str">
        <f ca="1">IF(B66="","",IF(UPPER(J66)="Y","Vacant",IF(AND(G66&gt;0,G66&gt;=E66+F66),IF(AND(H66&lt;&gt;"",A66&lt;&gt;"",H66&gt;A66+Settings!$C$7),"Paid late","Paid"),IF(G66&gt;0,"Partial",IF(AND(A66&lt;&gt;"",TODAY()&gt;A66+Settings!$C$7),"Unpaid","Due")))))</f>
        <v/>
      </c>
      <c r="L66" s="52" t="str">
        <f t="shared" si="0"/>
        <v/>
      </c>
      <c r="M66" s="47"/>
      <c r="N66" s="48" t="str">
        <f t="shared" si="1"/>
        <v/>
      </c>
      <c r="O66" s="48" t="str">
        <f>IF(B66="","",COUNTIF($B$7:B66,B66))</f>
        <v/>
      </c>
      <c r="P66" s="48" t="str">
        <f t="shared" si="2"/>
        <v/>
      </c>
      <c r="Q66" s="48" t="str">
        <f t="shared" si="3"/>
        <v/>
      </c>
      <c r="R66" s="48" t="str">
        <f t="shared" si="4"/>
        <v/>
      </c>
    </row>
    <row r="67" spans="1:18" ht="16" x14ac:dyDescent="0.2">
      <c r="A67" s="50"/>
      <c r="B67" s="47"/>
      <c r="C67" s="48" t="str">
        <f>IF(B67="","",IFERROR(INDEX(Tenants!$B$6:$B$35,MATCH(B67,Tenants!$A$6:$A$35,0)),"Unit not found"))</f>
        <v/>
      </c>
      <c r="D67" s="48" t="str">
        <f>IF(B67="","",IF(J67="Y","(vacant)",IFERROR(INDEX(Tenants!$C$6:$C$35,MATCH(B67,Tenants!$A$6:$A$35,0)),"")))</f>
        <v/>
      </c>
      <c r="E67" s="56"/>
      <c r="F67" s="56"/>
      <c r="G67" s="56"/>
      <c r="H67" s="50"/>
      <c r="I67" s="47"/>
      <c r="J67" s="47"/>
      <c r="K67" s="48" t="str">
        <f ca="1">IF(B67="","",IF(UPPER(J67)="Y","Vacant",IF(AND(G67&gt;0,G67&gt;=E67+F67),IF(AND(H67&lt;&gt;"",A67&lt;&gt;"",H67&gt;A67+Settings!$C$7),"Paid late","Paid"),IF(G67&gt;0,"Partial",IF(AND(A67&lt;&gt;"",TODAY()&gt;A67+Settings!$C$7),"Unpaid","Due")))))</f>
        <v/>
      </c>
      <c r="L67" s="52" t="str">
        <f t="shared" si="0"/>
        <v/>
      </c>
      <c r="M67" s="47"/>
      <c r="N67" s="48" t="str">
        <f t="shared" si="1"/>
        <v/>
      </c>
      <c r="O67" s="48" t="str">
        <f>IF(B67="","",COUNTIF($B$7:B67,B67))</f>
        <v/>
      </c>
      <c r="P67" s="48" t="str">
        <f t="shared" si="2"/>
        <v/>
      </c>
      <c r="Q67" s="48" t="str">
        <f t="shared" si="3"/>
        <v/>
      </c>
      <c r="R67" s="48" t="str">
        <f t="shared" si="4"/>
        <v/>
      </c>
    </row>
    <row r="68" spans="1:18" ht="16" x14ac:dyDescent="0.2">
      <c r="A68" s="50"/>
      <c r="B68" s="47"/>
      <c r="C68" s="48" t="str">
        <f>IF(B68="","",IFERROR(INDEX(Tenants!$B$6:$B$35,MATCH(B68,Tenants!$A$6:$A$35,0)),"Unit not found"))</f>
        <v/>
      </c>
      <c r="D68" s="48" t="str">
        <f>IF(B68="","",IF(J68="Y","(vacant)",IFERROR(INDEX(Tenants!$C$6:$C$35,MATCH(B68,Tenants!$A$6:$A$35,0)),"")))</f>
        <v/>
      </c>
      <c r="E68" s="56"/>
      <c r="F68" s="56"/>
      <c r="G68" s="56"/>
      <c r="H68" s="50"/>
      <c r="I68" s="47"/>
      <c r="J68" s="47"/>
      <c r="K68" s="48" t="str">
        <f ca="1">IF(B68="","",IF(UPPER(J68)="Y","Vacant",IF(AND(G68&gt;0,G68&gt;=E68+F68),IF(AND(H68&lt;&gt;"",A68&lt;&gt;"",H68&gt;A68+Settings!$C$7),"Paid late","Paid"),IF(G68&gt;0,"Partial",IF(AND(A68&lt;&gt;"",TODAY()&gt;A68+Settings!$C$7),"Unpaid","Due")))))</f>
        <v/>
      </c>
      <c r="L68" s="52" t="str">
        <f t="shared" si="0"/>
        <v/>
      </c>
      <c r="M68" s="47"/>
      <c r="N68" s="48" t="str">
        <f t="shared" si="1"/>
        <v/>
      </c>
      <c r="O68" s="48" t="str">
        <f>IF(B68="","",COUNTIF($B$7:B68,B68))</f>
        <v/>
      </c>
      <c r="P68" s="48" t="str">
        <f t="shared" si="2"/>
        <v/>
      </c>
      <c r="Q68" s="48" t="str">
        <f t="shared" si="3"/>
        <v/>
      </c>
      <c r="R68" s="48" t="str">
        <f t="shared" si="4"/>
        <v/>
      </c>
    </row>
    <row r="69" spans="1:18" ht="16" x14ac:dyDescent="0.2">
      <c r="A69" s="50"/>
      <c r="B69" s="47"/>
      <c r="C69" s="48" t="str">
        <f>IF(B69="","",IFERROR(INDEX(Tenants!$B$6:$B$35,MATCH(B69,Tenants!$A$6:$A$35,0)),"Unit not found"))</f>
        <v/>
      </c>
      <c r="D69" s="48" t="str">
        <f>IF(B69="","",IF(J69="Y","(vacant)",IFERROR(INDEX(Tenants!$C$6:$C$35,MATCH(B69,Tenants!$A$6:$A$35,0)),"")))</f>
        <v/>
      </c>
      <c r="E69" s="56"/>
      <c r="F69" s="56"/>
      <c r="G69" s="56"/>
      <c r="H69" s="50"/>
      <c r="I69" s="47"/>
      <c r="J69" s="47"/>
      <c r="K69" s="48" t="str">
        <f ca="1">IF(B69="","",IF(UPPER(J69)="Y","Vacant",IF(AND(G69&gt;0,G69&gt;=E69+F69),IF(AND(H69&lt;&gt;"",A69&lt;&gt;"",H69&gt;A69+Settings!$C$7),"Paid late","Paid"),IF(G69&gt;0,"Partial",IF(AND(A69&lt;&gt;"",TODAY()&gt;A69+Settings!$C$7),"Unpaid","Due")))))</f>
        <v/>
      </c>
      <c r="L69" s="52" t="str">
        <f t="shared" si="0"/>
        <v/>
      </c>
      <c r="M69" s="47"/>
      <c r="N69" s="48" t="str">
        <f t="shared" si="1"/>
        <v/>
      </c>
      <c r="O69" s="48" t="str">
        <f>IF(B69="","",COUNTIF($B$7:B69,B69))</f>
        <v/>
      </c>
      <c r="P69" s="48" t="str">
        <f t="shared" si="2"/>
        <v/>
      </c>
      <c r="Q69" s="48" t="str">
        <f t="shared" si="3"/>
        <v/>
      </c>
      <c r="R69" s="48" t="str">
        <f t="shared" si="4"/>
        <v/>
      </c>
    </row>
    <row r="70" spans="1:18" ht="16" x14ac:dyDescent="0.2">
      <c r="A70" s="50"/>
      <c r="B70" s="47"/>
      <c r="C70" s="48" t="str">
        <f>IF(B70="","",IFERROR(INDEX(Tenants!$B$6:$B$35,MATCH(B70,Tenants!$A$6:$A$35,0)),"Unit not found"))</f>
        <v/>
      </c>
      <c r="D70" s="48" t="str">
        <f>IF(B70="","",IF(J70="Y","(vacant)",IFERROR(INDEX(Tenants!$C$6:$C$35,MATCH(B70,Tenants!$A$6:$A$35,0)),"")))</f>
        <v/>
      </c>
      <c r="E70" s="56"/>
      <c r="F70" s="56"/>
      <c r="G70" s="56"/>
      <c r="H70" s="50"/>
      <c r="I70" s="47"/>
      <c r="J70" s="47"/>
      <c r="K70" s="48" t="str">
        <f ca="1">IF(B70="","",IF(UPPER(J70)="Y","Vacant",IF(AND(G70&gt;0,G70&gt;=E70+F70),IF(AND(H70&lt;&gt;"",A70&lt;&gt;"",H70&gt;A70+Settings!$C$7),"Paid late","Paid"),IF(G70&gt;0,"Partial",IF(AND(A70&lt;&gt;"",TODAY()&gt;A70+Settings!$C$7),"Unpaid","Due")))))</f>
        <v/>
      </c>
      <c r="L70" s="52" t="str">
        <f t="shared" si="0"/>
        <v/>
      </c>
      <c r="M70" s="47"/>
      <c r="N70" s="48" t="str">
        <f t="shared" si="1"/>
        <v/>
      </c>
      <c r="O70" s="48" t="str">
        <f>IF(B70="","",COUNTIF($B$7:B70,B70))</f>
        <v/>
      </c>
      <c r="P70" s="48" t="str">
        <f t="shared" si="2"/>
        <v/>
      </c>
      <c r="Q70" s="48" t="str">
        <f t="shared" si="3"/>
        <v/>
      </c>
      <c r="R70" s="48" t="str">
        <f t="shared" si="4"/>
        <v/>
      </c>
    </row>
    <row r="71" spans="1:18" ht="16" x14ac:dyDescent="0.2">
      <c r="A71" s="50"/>
      <c r="B71" s="47"/>
      <c r="C71" s="48" t="str">
        <f>IF(B71="","",IFERROR(INDEX(Tenants!$B$6:$B$35,MATCH(B71,Tenants!$A$6:$A$35,0)),"Unit not found"))</f>
        <v/>
      </c>
      <c r="D71" s="48" t="str">
        <f>IF(B71="","",IF(J71="Y","(vacant)",IFERROR(INDEX(Tenants!$C$6:$C$35,MATCH(B71,Tenants!$A$6:$A$35,0)),"")))</f>
        <v/>
      </c>
      <c r="E71" s="56"/>
      <c r="F71" s="56"/>
      <c r="G71" s="56"/>
      <c r="H71" s="50"/>
      <c r="I71" s="47"/>
      <c r="J71" s="47"/>
      <c r="K71" s="48" t="str">
        <f ca="1">IF(B71="","",IF(UPPER(J71)="Y","Vacant",IF(AND(G71&gt;0,G71&gt;=E71+F71),IF(AND(H71&lt;&gt;"",A71&lt;&gt;"",H71&gt;A71+Settings!$C$7),"Paid late","Paid"),IF(G71&gt;0,"Partial",IF(AND(A71&lt;&gt;"",TODAY()&gt;A71+Settings!$C$7),"Unpaid","Due")))))</f>
        <v/>
      </c>
      <c r="L71" s="52" t="str">
        <f t="shared" ref="L71:L134" si="5">IF(OR(B71="",UPPER(J71)="Y"),"",E71+F71-G71)</f>
        <v/>
      </c>
      <c r="M71" s="47"/>
      <c r="N71" s="48" t="str">
        <f t="shared" ref="N71:N134" si="6">IF(OR(B71="",G71=0,G71=""),"",YEAR(IF(H71="",A71,H71)))</f>
        <v/>
      </c>
      <c r="O71" s="48" t="str">
        <f>IF(B71="","",COUNTIF($B$7:B71,B71))</f>
        <v/>
      </c>
      <c r="P71" s="48" t="str">
        <f t="shared" ref="P71:P134" si="7">IF(B71="","",B71&amp;"|"&amp;O71)</f>
        <v/>
      </c>
      <c r="Q71" s="48" t="str">
        <f t="shared" ref="Q71:Q134" si="8">IF(OR(B71="",G71=0,G71=""),"",YEAR(IF(H71="",A71,H71))*100+MONTH(IF(H71="",A71,H71)))</f>
        <v/>
      </c>
      <c r="R71" s="48" t="str">
        <f t="shared" ref="R71:R134" si="9">IF(OR(B71="",A71=""),"",YEAR(A71))</f>
        <v/>
      </c>
    </row>
    <row r="72" spans="1:18" ht="16" x14ac:dyDescent="0.2">
      <c r="A72" s="50"/>
      <c r="B72" s="47"/>
      <c r="C72" s="48" t="str">
        <f>IF(B72="","",IFERROR(INDEX(Tenants!$B$6:$B$35,MATCH(B72,Tenants!$A$6:$A$35,0)),"Unit not found"))</f>
        <v/>
      </c>
      <c r="D72" s="48" t="str">
        <f>IF(B72="","",IF(J72="Y","(vacant)",IFERROR(INDEX(Tenants!$C$6:$C$35,MATCH(B72,Tenants!$A$6:$A$35,0)),"")))</f>
        <v/>
      </c>
      <c r="E72" s="56"/>
      <c r="F72" s="56"/>
      <c r="G72" s="56"/>
      <c r="H72" s="50"/>
      <c r="I72" s="47"/>
      <c r="J72" s="47"/>
      <c r="K72" s="48" t="str">
        <f ca="1">IF(B72="","",IF(UPPER(J72)="Y","Vacant",IF(AND(G72&gt;0,G72&gt;=E72+F72),IF(AND(H72&lt;&gt;"",A72&lt;&gt;"",H72&gt;A72+Settings!$C$7),"Paid late","Paid"),IF(G72&gt;0,"Partial",IF(AND(A72&lt;&gt;"",TODAY()&gt;A72+Settings!$C$7),"Unpaid","Due")))))</f>
        <v/>
      </c>
      <c r="L72" s="52" t="str">
        <f t="shared" si="5"/>
        <v/>
      </c>
      <c r="M72" s="47"/>
      <c r="N72" s="48" t="str">
        <f t="shared" si="6"/>
        <v/>
      </c>
      <c r="O72" s="48" t="str">
        <f>IF(B72="","",COUNTIF($B$7:B72,B72))</f>
        <v/>
      </c>
      <c r="P72" s="48" t="str">
        <f t="shared" si="7"/>
        <v/>
      </c>
      <c r="Q72" s="48" t="str">
        <f t="shared" si="8"/>
        <v/>
      </c>
      <c r="R72" s="48" t="str">
        <f t="shared" si="9"/>
        <v/>
      </c>
    </row>
    <row r="73" spans="1:18" ht="16" x14ac:dyDescent="0.2">
      <c r="A73" s="50"/>
      <c r="B73" s="47"/>
      <c r="C73" s="48" t="str">
        <f>IF(B73="","",IFERROR(INDEX(Tenants!$B$6:$B$35,MATCH(B73,Tenants!$A$6:$A$35,0)),"Unit not found"))</f>
        <v/>
      </c>
      <c r="D73" s="48" t="str">
        <f>IF(B73="","",IF(J73="Y","(vacant)",IFERROR(INDEX(Tenants!$C$6:$C$35,MATCH(B73,Tenants!$A$6:$A$35,0)),"")))</f>
        <v/>
      </c>
      <c r="E73" s="56"/>
      <c r="F73" s="56"/>
      <c r="G73" s="56"/>
      <c r="H73" s="50"/>
      <c r="I73" s="47"/>
      <c r="J73" s="47"/>
      <c r="K73" s="48" t="str">
        <f ca="1">IF(B73="","",IF(UPPER(J73)="Y","Vacant",IF(AND(G73&gt;0,G73&gt;=E73+F73),IF(AND(H73&lt;&gt;"",A73&lt;&gt;"",H73&gt;A73+Settings!$C$7),"Paid late","Paid"),IF(G73&gt;0,"Partial",IF(AND(A73&lt;&gt;"",TODAY()&gt;A73+Settings!$C$7),"Unpaid","Due")))))</f>
        <v/>
      </c>
      <c r="L73" s="52" t="str">
        <f t="shared" si="5"/>
        <v/>
      </c>
      <c r="M73" s="47"/>
      <c r="N73" s="48" t="str">
        <f t="shared" si="6"/>
        <v/>
      </c>
      <c r="O73" s="48" t="str">
        <f>IF(B73="","",COUNTIF($B$7:B73,B73))</f>
        <v/>
      </c>
      <c r="P73" s="48" t="str">
        <f t="shared" si="7"/>
        <v/>
      </c>
      <c r="Q73" s="48" t="str">
        <f t="shared" si="8"/>
        <v/>
      </c>
      <c r="R73" s="48" t="str">
        <f t="shared" si="9"/>
        <v/>
      </c>
    </row>
    <row r="74" spans="1:18" ht="16" x14ac:dyDescent="0.2">
      <c r="A74" s="50"/>
      <c r="B74" s="47"/>
      <c r="C74" s="48" t="str">
        <f>IF(B74="","",IFERROR(INDEX(Tenants!$B$6:$B$35,MATCH(B74,Tenants!$A$6:$A$35,0)),"Unit not found"))</f>
        <v/>
      </c>
      <c r="D74" s="48" t="str">
        <f>IF(B74="","",IF(J74="Y","(vacant)",IFERROR(INDEX(Tenants!$C$6:$C$35,MATCH(B74,Tenants!$A$6:$A$35,0)),"")))</f>
        <v/>
      </c>
      <c r="E74" s="56"/>
      <c r="F74" s="56"/>
      <c r="G74" s="56"/>
      <c r="H74" s="50"/>
      <c r="I74" s="47"/>
      <c r="J74" s="47"/>
      <c r="K74" s="48" t="str">
        <f ca="1">IF(B74="","",IF(UPPER(J74)="Y","Vacant",IF(AND(G74&gt;0,G74&gt;=E74+F74),IF(AND(H74&lt;&gt;"",A74&lt;&gt;"",H74&gt;A74+Settings!$C$7),"Paid late","Paid"),IF(G74&gt;0,"Partial",IF(AND(A74&lt;&gt;"",TODAY()&gt;A74+Settings!$C$7),"Unpaid","Due")))))</f>
        <v/>
      </c>
      <c r="L74" s="52" t="str">
        <f t="shared" si="5"/>
        <v/>
      </c>
      <c r="M74" s="47"/>
      <c r="N74" s="48" t="str">
        <f t="shared" si="6"/>
        <v/>
      </c>
      <c r="O74" s="48" t="str">
        <f>IF(B74="","",COUNTIF($B$7:B74,B74))</f>
        <v/>
      </c>
      <c r="P74" s="48" t="str">
        <f t="shared" si="7"/>
        <v/>
      </c>
      <c r="Q74" s="48" t="str">
        <f t="shared" si="8"/>
        <v/>
      </c>
      <c r="R74" s="48" t="str">
        <f t="shared" si="9"/>
        <v/>
      </c>
    </row>
    <row r="75" spans="1:18" ht="16" x14ac:dyDescent="0.2">
      <c r="A75" s="50"/>
      <c r="B75" s="47"/>
      <c r="C75" s="48" t="str">
        <f>IF(B75="","",IFERROR(INDEX(Tenants!$B$6:$B$35,MATCH(B75,Tenants!$A$6:$A$35,0)),"Unit not found"))</f>
        <v/>
      </c>
      <c r="D75" s="48" t="str">
        <f>IF(B75="","",IF(J75="Y","(vacant)",IFERROR(INDEX(Tenants!$C$6:$C$35,MATCH(B75,Tenants!$A$6:$A$35,0)),"")))</f>
        <v/>
      </c>
      <c r="E75" s="56"/>
      <c r="F75" s="56"/>
      <c r="G75" s="56"/>
      <c r="H75" s="50"/>
      <c r="I75" s="47"/>
      <c r="J75" s="47"/>
      <c r="K75" s="48" t="str">
        <f ca="1">IF(B75="","",IF(UPPER(J75)="Y","Vacant",IF(AND(G75&gt;0,G75&gt;=E75+F75),IF(AND(H75&lt;&gt;"",A75&lt;&gt;"",H75&gt;A75+Settings!$C$7),"Paid late","Paid"),IF(G75&gt;0,"Partial",IF(AND(A75&lt;&gt;"",TODAY()&gt;A75+Settings!$C$7),"Unpaid","Due")))))</f>
        <v/>
      </c>
      <c r="L75" s="52" t="str">
        <f t="shared" si="5"/>
        <v/>
      </c>
      <c r="M75" s="47"/>
      <c r="N75" s="48" t="str">
        <f t="shared" si="6"/>
        <v/>
      </c>
      <c r="O75" s="48" t="str">
        <f>IF(B75="","",COUNTIF($B$7:B75,B75))</f>
        <v/>
      </c>
      <c r="P75" s="48" t="str">
        <f t="shared" si="7"/>
        <v/>
      </c>
      <c r="Q75" s="48" t="str">
        <f t="shared" si="8"/>
        <v/>
      </c>
      <c r="R75" s="48" t="str">
        <f t="shared" si="9"/>
        <v/>
      </c>
    </row>
    <row r="76" spans="1:18" ht="16" x14ac:dyDescent="0.2">
      <c r="A76" s="50"/>
      <c r="B76" s="47"/>
      <c r="C76" s="48" t="str">
        <f>IF(B76="","",IFERROR(INDEX(Tenants!$B$6:$B$35,MATCH(B76,Tenants!$A$6:$A$35,0)),"Unit not found"))</f>
        <v/>
      </c>
      <c r="D76" s="48" t="str">
        <f>IF(B76="","",IF(J76="Y","(vacant)",IFERROR(INDEX(Tenants!$C$6:$C$35,MATCH(B76,Tenants!$A$6:$A$35,0)),"")))</f>
        <v/>
      </c>
      <c r="E76" s="56"/>
      <c r="F76" s="56"/>
      <c r="G76" s="56"/>
      <c r="H76" s="50"/>
      <c r="I76" s="47"/>
      <c r="J76" s="47"/>
      <c r="K76" s="48" t="str">
        <f ca="1">IF(B76="","",IF(UPPER(J76)="Y","Vacant",IF(AND(G76&gt;0,G76&gt;=E76+F76),IF(AND(H76&lt;&gt;"",A76&lt;&gt;"",H76&gt;A76+Settings!$C$7),"Paid late","Paid"),IF(G76&gt;0,"Partial",IF(AND(A76&lt;&gt;"",TODAY()&gt;A76+Settings!$C$7),"Unpaid","Due")))))</f>
        <v/>
      </c>
      <c r="L76" s="52" t="str">
        <f t="shared" si="5"/>
        <v/>
      </c>
      <c r="M76" s="47"/>
      <c r="N76" s="48" t="str">
        <f t="shared" si="6"/>
        <v/>
      </c>
      <c r="O76" s="48" t="str">
        <f>IF(B76="","",COUNTIF($B$7:B76,B76))</f>
        <v/>
      </c>
      <c r="P76" s="48" t="str">
        <f t="shared" si="7"/>
        <v/>
      </c>
      <c r="Q76" s="48" t="str">
        <f t="shared" si="8"/>
        <v/>
      </c>
      <c r="R76" s="48" t="str">
        <f t="shared" si="9"/>
        <v/>
      </c>
    </row>
    <row r="77" spans="1:18" ht="16" x14ac:dyDescent="0.2">
      <c r="A77" s="50"/>
      <c r="B77" s="47"/>
      <c r="C77" s="48" t="str">
        <f>IF(B77="","",IFERROR(INDEX(Tenants!$B$6:$B$35,MATCH(B77,Tenants!$A$6:$A$35,0)),"Unit not found"))</f>
        <v/>
      </c>
      <c r="D77" s="48" t="str">
        <f>IF(B77="","",IF(J77="Y","(vacant)",IFERROR(INDEX(Tenants!$C$6:$C$35,MATCH(B77,Tenants!$A$6:$A$35,0)),"")))</f>
        <v/>
      </c>
      <c r="E77" s="56"/>
      <c r="F77" s="56"/>
      <c r="G77" s="56"/>
      <c r="H77" s="50"/>
      <c r="I77" s="47"/>
      <c r="J77" s="47"/>
      <c r="K77" s="48" t="str">
        <f ca="1">IF(B77="","",IF(UPPER(J77)="Y","Vacant",IF(AND(G77&gt;0,G77&gt;=E77+F77),IF(AND(H77&lt;&gt;"",A77&lt;&gt;"",H77&gt;A77+Settings!$C$7),"Paid late","Paid"),IF(G77&gt;0,"Partial",IF(AND(A77&lt;&gt;"",TODAY()&gt;A77+Settings!$C$7),"Unpaid","Due")))))</f>
        <v/>
      </c>
      <c r="L77" s="52" t="str">
        <f t="shared" si="5"/>
        <v/>
      </c>
      <c r="M77" s="47"/>
      <c r="N77" s="48" t="str">
        <f t="shared" si="6"/>
        <v/>
      </c>
      <c r="O77" s="48" t="str">
        <f>IF(B77="","",COUNTIF($B$7:B77,B77))</f>
        <v/>
      </c>
      <c r="P77" s="48" t="str">
        <f t="shared" si="7"/>
        <v/>
      </c>
      <c r="Q77" s="48" t="str">
        <f t="shared" si="8"/>
        <v/>
      </c>
      <c r="R77" s="48" t="str">
        <f t="shared" si="9"/>
        <v/>
      </c>
    </row>
    <row r="78" spans="1:18" ht="16" x14ac:dyDescent="0.2">
      <c r="A78" s="50"/>
      <c r="B78" s="47"/>
      <c r="C78" s="48" t="str">
        <f>IF(B78="","",IFERROR(INDEX(Tenants!$B$6:$B$35,MATCH(B78,Tenants!$A$6:$A$35,0)),"Unit not found"))</f>
        <v/>
      </c>
      <c r="D78" s="48" t="str">
        <f>IF(B78="","",IF(J78="Y","(vacant)",IFERROR(INDEX(Tenants!$C$6:$C$35,MATCH(B78,Tenants!$A$6:$A$35,0)),"")))</f>
        <v/>
      </c>
      <c r="E78" s="56"/>
      <c r="F78" s="56"/>
      <c r="G78" s="56"/>
      <c r="H78" s="50"/>
      <c r="I78" s="47"/>
      <c r="J78" s="47"/>
      <c r="K78" s="48" t="str">
        <f ca="1">IF(B78="","",IF(UPPER(J78)="Y","Vacant",IF(AND(G78&gt;0,G78&gt;=E78+F78),IF(AND(H78&lt;&gt;"",A78&lt;&gt;"",H78&gt;A78+Settings!$C$7),"Paid late","Paid"),IF(G78&gt;0,"Partial",IF(AND(A78&lt;&gt;"",TODAY()&gt;A78+Settings!$C$7),"Unpaid","Due")))))</f>
        <v/>
      </c>
      <c r="L78" s="52" t="str">
        <f t="shared" si="5"/>
        <v/>
      </c>
      <c r="M78" s="47"/>
      <c r="N78" s="48" t="str">
        <f t="shared" si="6"/>
        <v/>
      </c>
      <c r="O78" s="48" t="str">
        <f>IF(B78="","",COUNTIF($B$7:B78,B78))</f>
        <v/>
      </c>
      <c r="P78" s="48" t="str">
        <f t="shared" si="7"/>
        <v/>
      </c>
      <c r="Q78" s="48" t="str">
        <f t="shared" si="8"/>
        <v/>
      </c>
      <c r="R78" s="48" t="str">
        <f t="shared" si="9"/>
        <v/>
      </c>
    </row>
    <row r="79" spans="1:18" ht="16" x14ac:dyDescent="0.2">
      <c r="A79" s="50"/>
      <c r="B79" s="47"/>
      <c r="C79" s="48" t="str">
        <f>IF(B79="","",IFERROR(INDEX(Tenants!$B$6:$B$35,MATCH(B79,Tenants!$A$6:$A$35,0)),"Unit not found"))</f>
        <v/>
      </c>
      <c r="D79" s="48" t="str">
        <f>IF(B79="","",IF(J79="Y","(vacant)",IFERROR(INDEX(Tenants!$C$6:$C$35,MATCH(B79,Tenants!$A$6:$A$35,0)),"")))</f>
        <v/>
      </c>
      <c r="E79" s="56"/>
      <c r="F79" s="56"/>
      <c r="G79" s="56"/>
      <c r="H79" s="50"/>
      <c r="I79" s="47"/>
      <c r="J79" s="47"/>
      <c r="K79" s="48" t="str">
        <f ca="1">IF(B79="","",IF(UPPER(J79)="Y","Vacant",IF(AND(G79&gt;0,G79&gt;=E79+F79),IF(AND(H79&lt;&gt;"",A79&lt;&gt;"",H79&gt;A79+Settings!$C$7),"Paid late","Paid"),IF(G79&gt;0,"Partial",IF(AND(A79&lt;&gt;"",TODAY()&gt;A79+Settings!$C$7),"Unpaid","Due")))))</f>
        <v/>
      </c>
      <c r="L79" s="52" t="str">
        <f t="shared" si="5"/>
        <v/>
      </c>
      <c r="M79" s="47"/>
      <c r="N79" s="48" t="str">
        <f t="shared" si="6"/>
        <v/>
      </c>
      <c r="O79" s="48" t="str">
        <f>IF(B79="","",COUNTIF($B$7:B79,B79))</f>
        <v/>
      </c>
      <c r="P79" s="48" t="str">
        <f t="shared" si="7"/>
        <v/>
      </c>
      <c r="Q79" s="48" t="str">
        <f t="shared" si="8"/>
        <v/>
      </c>
      <c r="R79" s="48" t="str">
        <f t="shared" si="9"/>
        <v/>
      </c>
    </row>
    <row r="80" spans="1:18" ht="16" x14ac:dyDescent="0.2">
      <c r="A80" s="50"/>
      <c r="B80" s="47"/>
      <c r="C80" s="48" t="str">
        <f>IF(B80="","",IFERROR(INDEX(Tenants!$B$6:$B$35,MATCH(B80,Tenants!$A$6:$A$35,0)),"Unit not found"))</f>
        <v/>
      </c>
      <c r="D80" s="48" t="str">
        <f>IF(B80="","",IF(J80="Y","(vacant)",IFERROR(INDEX(Tenants!$C$6:$C$35,MATCH(B80,Tenants!$A$6:$A$35,0)),"")))</f>
        <v/>
      </c>
      <c r="E80" s="56"/>
      <c r="F80" s="56"/>
      <c r="G80" s="56"/>
      <c r="H80" s="50"/>
      <c r="I80" s="47"/>
      <c r="J80" s="47"/>
      <c r="K80" s="48" t="str">
        <f ca="1">IF(B80="","",IF(UPPER(J80)="Y","Vacant",IF(AND(G80&gt;0,G80&gt;=E80+F80),IF(AND(H80&lt;&gt;"",A80&lt;&gt;"",H80&gt;A80+Settings!$C$7),"Paid late","Paid"),IF(G80&gt;0,"Partial",IF(AND(A80&lt;&gt;"",TODAY()&gt;A80+Settings!$C$7),"Unpaid","Due")))))</f>
        <v/>
      </c>
      <c r="L80" s="52" t="str">
        <f t="shared" si="5"/>
        <v/>
      </c>
      <c r="M80" s="47"/>
      <c r="N80" s="48" t="str">
        <f t="shared" si="6"/>
        <v/>
      </c>
      <c r="O80" s="48" t="str">
        <f>IF(B80="","",COUNTIF($B$7:B80,B80))</f>
        <v/>
      </c>
      <c r="P80" s="48" t="str">
        <f t="shared" si="7"/>
        <v/>
      </c>
      <c r="Q80" s="48" t="str">
        <f t="shared" si="8"/>
        <v/>
      </c>
      <c r="R80" s="48" t="str">
        <f t="shared" si="9"/>
        <v/>
      </c>
    </row>
    <row r="81" spans="1:18" ht="16" x14ac:dyDescent="0.2">
      <c r="A81" s="50"/>
      <c r="B81" s="47"/>
      <c r="C81" s="48" t="str">
        <f>IF(B81="","",IFERROR(INDEX(Tenants!$B$6:$B$35,MATCH(B81,Tenants!$A$6:$A$35,0)),"Unit not found"))</f>
        <v/>
      </c>
      <c r="D81" s="48" t="str">
        <f>IF(B81="","",IF(J81="Y","(vacant)",IFERROR(INDEX(Tenants!$C$6:$C$35,MATCH(B81,Tenants!$A$6:$A$35,0)),"")))</f>
        <v/>
      </c>
      <c r="E81" s="56"/>
      <c r="F81" s="56"/>
      <c r="G81" s="56"/>
      <c r="H81" s="50"/>
      <c r="I81" s="47"/>
      <c r="J81" s="47"/>
      <c r="K81" s="48" t="str">
        <f ca="1">IF(B81="","",IF(UPPER(J81)="Y","Vacant",IF(AND(G81&gt;0,G81&gt;=E81+F81),IF(AND(H81&lt;&gt;"",A81&lt;&gt;"",H81&gt;A81+Settings!$C$7),"Paid late","Paid"),IF(G81&gt;0,"Partial",IF(AND(A81&lt;&gt;"",TODAY()&gt;A81+Settings!$C$7),"Unpaid","Due")))))</f>
        <v/>
      </c>
      <c r="L81" s="52" t="str">
        <f t="shared" si="5"/>
        <v/>
      </c>
      <c r="M81" s="47"/>
      <c r="N81" s="48" t="str">
        <f t="shared" si="6"/>
        <v/>
      </c>
      <c r="O81" s="48" t="str">
        <f>IF(B81="","",COUNTIF($B$7:B81,B81))</f>
        <v/>
      </c>
      <c r="P81" s="48" t="str">
        <f t="shared" si="7"/>
        <v/>
      </c>
      <c r="Q81" s="48" t="str">
        <f t="shared" si="8"/>
        <v/>
      </c>
      <c r="R81" s="48" t="str">
        <f t="shared" si="9"/>
        <v/>
      </c>
    </row>
    <row r="82" spans="1:18" ht="16" x14ac:dyDescent="0.2">
      <c r="A82" s="50"/>
      <c r="B82" s="47"/>
      <c r="C82" s="48" t="str">
        <f>IF(B82="","",IFERROR(INDEX(Tenants!$B$6:$B$35,MATCH(B82,Tenants!$A$6:$A$35,0)),"Unit not found"))</f>
        <v/>
      </c>
      <c r="D82" s="48" t="str">
        <f>IF(B82="","",IF(J82="Y","(vacant)",IFERROR(INDEX(Tenants!$C$6:$C$35,MATCH(B82,Tenants!$A$6:$A$35,0)),"")))</f>
        <v/>
      </c>
      <c r="E82" s="56"/>
      <c r="F82" s="56"/>
      <c r="G82" s="56"/>
      <c r="H82" s="50"/>
      <c r="I82" s="47"/>
      <c r="J82" s="47"/>
      <c r="K82" s="48" t="str">
        <f ca="1">IF(B82="","",IF(UPPER(J82)="Y","Vacant",IF(AND(G82&gt;0,G82&gt;=E82+F82),IF(AND(H82&lt;&gt;"",A82&lt;&gt;"",H82&gt;A82+Settings!$C$7),"Paid late","Paid"),IF(G82&gt;0,"Partial",IF(AND(A82&lt;&gt;"",TODAY()&gt;A82+Settings!$C$7),"Unpaid","Due")))))</f>
        <v/>
      </c>
      <c r="L82" s="52" t="str">
        <f t="shared" si="5"/>
        <v/>
      </c>
      <c r="M82" s="47"/>
      <c r="N82" s="48" t="str">
        <f t="shared" si="6"/>
        <v/>
      </c>
      <c r="O82" s="48" t="str">
        <f>IF(B82="","",COUNTIF($B$7:B82,B82))</f>
        <v/>
      </c>
      <c r="P82" s="48" t="str">
        <f t="shared" si="7"/>
        <v/>
      </c>
      <c r="Q82" s="48" t="str">
        <f t="shared" si="8"/>
        <v/>
      </c>
      <c r="R82" s="48" t="str">
        <f t="shared" si="9"/>
        <v/>
      </c>
    </row>
    <row r="83" spans="1:18" ht="16" x14ac:dyDescent="0.2">
      <c r="A83" s="50"/>
      <c r="B83" s="47"/>
      <c r="C83" s="48" t="str">
        <f>IF(B83="","",IFERROR(INDEX(Tenants!$B$6:$B$35,MATCH(B83,Tenants!$A$6:$A$35,0)),"Unit not found"))</f>
        <v/>
      </c>
      <c r="D83" s="48" t="str">
        <f>IF(B83="","",IF(J83="Y","(vacant)",IFERROR(INDEX(Tenants!$C$6:$C$35,MATCH(B83,Tenants!$A$6:$A$35,0)),"")))</f>
        <v/>
      </c>
      <c r="E83" s="56"/>
      <c r="F83" s="56"/>
      <c r="G83" s="56"/>
      <c r="H83" s="50"/>
      <c r="I83" s="47"/>
      <c r="J83" s="47"/>
      <c r="K83" s="48" t="str">
        <f ca="1">IF(B83="","",IF(UPPER(J83)="Y","Vacant",IF(AND(G83&gt;0,G83&gt;=E83+F83),IF(AND(H83&lt;&gt;"",A83&lt;&gt;"",H83&gt;A83+Settings!$C$7),"Paid late","Paid"),IF(G83&gt;0,"Partial",IF(AND(A83&lt;&gt;"",TODAY()&gt;A83+Settings!$C$7),"Unpaid","Due")))))</f>
        <v/>
      </c>
      <c r="L83" s="52" t="str">
        <f t="shared" si="5"/>
        <v/>
      </c>
      <c r="M83" s="47"/>
      <c r="N83" s="48" t="str">
        <f t="shared" si="6"/>
        <v/>
      </c>
      <c r="O83" s="48" t="str">
        <f>IF(B83="","",COUNTIF($B$7:B83,B83))</f>
        <v/>
      </c>
      <c r="P83" s="48" t="str">
        <f t="shared" si="7"/>
        <v/>
      </c>
      <c r="Q83" s="48" t="str">
        <f t="shared" si="8"/>
        <v/>
      </c>
      <c r="R83" s="48" t="str">
        <f t="shared" si="9"/>
        <v/>
      </c>
    </row>
    <row r="84" spans="1:18" ht="16" x14ac:dyDescent="0.2">
      <c r="A84" s="50"/>
      <c r="B84" s="47"/>
      <c r="C84" s="48" t="str">
        <f>IF(B84="","",IFERROR(INDEX(Tenants!$B$6:$B$35,MATCH(B84,Tenants!$A$6:$A$35,0)),"Unit not found"))</f>
        <v/>
      </c>
      <c r="D84" s="48" t="str">
        <f>IF(B84="","",IF(J84="Y","(vacant)",IFERROR(INDEX(Tenants!$C$6:$C$35,MATCH(B84,Tenants!$A$6:$A$35,0)),"")))</f>
        <v/>
      </c>
      <c r="E84" s="56"/>
      <c r="F84" s="56"/>
      <c r="G84" s="56"/>
      <c r="H84" s="50"/>
      <c r="I84" s="47"/>
      <c r="J84" s="47"/>
      <c r="K84" s="48" t="str">
        <f ca="1">IF(B84="","",IF(UPPER(J84)="Y","Vacant",IF(AND(G84&gt;0,G84&gt;=E84+F84),IF(AND(H84&lt;&gt;"",A84&lt;&gt;"",H84&gt;A84+Settings!$C$7),"Paid late","Paid"),IF(G84&gt;0,"Partial",IF(AND(A84&lt;&gt;"",TODAY()&gt;A84+Settings!$C$7),"Unpaid","Due")))))</f>
        <v/>
      </c>
      <c r="L84" s="52" t="str">
        <f t="shared" si="5"/>
        <v/>
      </c>
      <c r="M84" s="47"/>
      <c r="N84" s="48" t="str">
        <f t="shared" si="6"/>
        <v/>
      </c>
      <c r="O84" s="48" t="str">
        <f>IF(B84="","",COUNTIF($B$7:B84,B84))</f>
        <v/>
      </c>
      <c r="P84" s="48" t="str">
        <f t="shared" si="7"/>
        <v/>
      </c>
      <c r="Q84" s="48" t="str">
        <f t="shared" si="8"/>
        <v/>
      </c>
      <c r="R84" s="48" t="str">
        <f t="shared" si="9"/>
        <v/>
      </c>
    </row>
    <row r="85" spans="1:18" ht="16" x14ac:dyDescent="0.2">
      <c r="A85" s="50"/>
      <c r="B85" s="47"/>
      <c r="C85" s="48" t="str">
        <f>IF(B85="","",IFERROR(INDEX(Tenants!$B$6:$B$35,MATCH(B85,Tenants!$A$6:$A$35,0)),"Unit not found"))</f>
        <v/>
      </c>
      <c r="D85" s="48" t="str">
        <f>IF(B85="","",IF(J85="Y","(vacant)",IFERROR(INDEX(Tenants!$C$6:$C$35,MATCH(B85,Tenants!$A$6:$A$35,0)),"")))</f>
        <v/>
      </c>
      <c r="E85" s="56"/>
      <c r="F85" s="56"/>
      <c r="G85" s="56"/>
      <c r="H85" s="50"/>
      <c r="I85" s="47"/>
      <c r="J85" s="47"/>
      <c r="K85" s="48" t="str">
        <f ca="1">IF(B85="","",IF(UPPER(J85)="Y","Vacant",IF(AND(G85&gt;0,G85&gt;=E85+F85),IF(AND(H85&lt;&gt;"",A85&lt;&gt;"",H85&gt;A85+Settings!$C$7),"Paid late","Paid"),IF(G85&gt;0,"Partial",IF(AND(A85&lt;&gt;"",TODAY()&gt;A85+Settings!$C$7),"Unpaid","Due")))))</f>
        <v/>
      </c>
      <c r="L85" s="52" t="str">
        <f t="shared" si="5"/>
        <v/>
      </c>
      <c r="M85" s="47"/>
      <c r="N85" s="48" t="str">
        <f t="shared" si="6"/>
        <v/>
      </c>
      <c r="O85" s="48" t="str">
        <f>IF(B85="","",COUNTIF($B$7:B85,B85))</f>
        <v/>
      </c>
      <c r="P85" s="48" t="str">
        <f t="shared" si="7"/>
        <v/>
      </c>
      <c r="Q85" s="48" t="str">
        <f t="shared" si="8"/>
        <v/>
      </c>
      <c r="R85" s="48" t="str">
        <f t="shared" si="9"/>
        <v/>
      </c>
    </row>
    <row r="86" spans="1:18" ht="16" x14ac:dyDescent="0.2">
      <c r="A86" s="50"/>
      <c r="B86" s="47"/>
      <c r="C86" s="48" t="str">
        <f>IF(B86="","",IFERROR(INDEX(Tenants!$B$6:$B$35,MATCH(B86,Tenants!$A$6:$A$35,0)),"Unit not found"))</f>
        <v/>
      </c>
      <c r="D86" s="48" t="str">
        <f>IF(B86="","",IF(J86="Y","(vacant)",IFERROR(INDEX(Tenants!$C$6:$C$35,MATCH(B86,Tenants!$A$6:$A$35,0)),"")))</f>
        <v/>
      </c>
      <c r="E86" s="56"/>
      <c r="F86" s="56"/>
      <c r="G86" s="56"/>
      <c r="H86" s="50"/>
      <c r="I86" s="47"/>
      <c r="J86" s="47"/>
      <c r="K86" s="48" t="str">
        <f ca="1">IF(B86="","",IF(UPPER(J86)="Y","Vacant",IF(AND(G86&gt;0,G86&gt;=E86+F86),IF(AND(H86&lt;&gt;"",A86&lt;&gt;"",H86&gt;A86+Settings!$C$7),"Paid late","Paid"),IF(G86&gt;0,"Partial",IF(AND(A86&lt;&gt;"",TODAY()&gt;A86+Settings!$C$7),"Unpaid","Due")))))</f>
        <v/>
      </c>
      <c r="L86" s="52" t="str">
        <f t="shared" si="5"/>
        <v/>
      </c>
      <c r="M86" s="47"/>
      <c r="N86" s="48" t="str">
        <f t="shared" si="6"/>
        <v/>
      </c>
      <c r="O86" s="48" t="str">
        <f>IF(B86="","",COUNTIF($B$7:B86,B86))</f>
        <v/>
      </c>
      <c r="P86" s="48" t="str">
        <f t="shared" si="7"/>
        <v/>
      </c>
      <c r="Q86" s="48" t="str">
        <f t="shared" si="8"/>
        <v/>
      </c>
      <c r="R86" s="48" t="str">
        <f t="shared" si="9"/>
        <v/>
      </c>
    </row>
    <row r="87" spans="1:18" ht="16" x14ac:dyDescent="0.2">
      <c r="A87" s="50"/>
      <c r="B87" s="47"/>
      <c r="C87" s="48" t="str">
        <f>IF(B87="","",IFERROR(INDEX(Tenants!$B$6:$B$35,MATCH(B87,Tenants!$A$6:$A$35,0)),"Unit not found"))</f>
        <v/>
      </c>
      <c r="D87" s="48" t="str">
        <f>IF(B87="","",IF(J87="Y","(vacant)",IFERROR(INDEX(Tenants!$C$6:$C$35,MATCH(B87,Tenants!$A$6:$A$35,0)),"")))</f>
        <v/>
      </c>
      <c r="E87" s="56"/>
      <c r="F87" s="56"/>
      <c r="G87" s="56"/>
      <c r="H87" s="50"/>
      <c r="I87" s="47"/>
      <c r="J87" s="47"/>
      <c r="K87" s="48" t="str">
        <f ca="1">IF(B87="","",IF(UPPER(J87)="Y","Vacant",IF(AND(G87&gt;0,G87&gt;=E87+F87),IF(AND(H87&lt;&gt;"",A87&lt;&gt;"",H87&gt;A87+Settings!$C$7),"Paid late","Paid"),IF(G87&gt;0,"Partial",IF(AND(A87&lt;&gt;"",TODAY()&gt;A87+Settings!$C$7),"Unpaid","Due")))))</f>
        <v/>
      </c>
      <c r="L87" s="52" t="str">
        <f t="shared" si="5"/>
        <v/>
      </c>
      <c r="M87" s="47"/>
      <c r="N87" s="48" t="str">
        <f t="shared" si="6"/>
        <v/>
      </c>
      <c r="O87" s="48" t="str">
        <f>IF(B87="","",COUNTIF($B$7:B87,B87))</f>
        <v/>
      </c>
      <c r="P87" s="48" t="str">
        <f t="shared" si="7"/>
        <v/>
      </c>
      <c r="Q87" s="48" t="str">
        <f t="shared" si="8"/>
        <v/>
      </c>
      <c r="R87" s="48" t="str">
        <f t="shared" si="9"/>
        <v/>
      </c>
    </row>
    <row r="88" spans="1:18" ht="16" x14ac:dyDescent="0.2">
      <c r="A88" s="50"/>
      <c r="B88" s="47"/>
      <c r="C88" s="48" t="str">
        <f>IF(B88="","",IFERROR(INDEX(Tenants!$B$6:$B$35,MATCH(B88,Tenants!$A$6:$A$35,0)),"Unit not found"))</f>
        <v/>
      </c>
      <c r="D88" s="48" t="str">
        <f>IF(B88="","",IF(J88="Y","(vacant)",IFERROR(INDEX(Tenants!$C$6:$C$35,MATCH(B88,Tenants!$A$6:$A$35,0)),"")))</f>
        <v/>
      </c>
      <c r="E88" s="56"/>
      <c r="F88" s="56"/>
      <c r="G88" s="56"/>
      <c r="H88" s="50"/>
      <c r="I88" s="47"/>
      <c r="J88" s="47"/>
      <c r="K88" s="48" t="str">
        <f ca="1">IF(B88="","",IF(UPPER(J88)="Y","Vacant",IF(AND(G88&gt;0,G88&gt;=E88+F88),IF(AND(H88&lt;&gt;"",A88&lt;&gt;"",H88&gt;A88+Settings!$C$7),"Paid late","Paid"),IF(G88&gt;0,"Partial",IF(AND(A88&lt;&gt;"",TODAY()&gt;A88+Settings!$C$7),"Unpaid","Due")))))</f>
        <v/>
      </c>
      <c r="L88" s="52" t="str">
        <f t="shared" si="5"/>
        <v/>
      </c>
      <c r="M88" s="47"/>
      <c r="N88" s="48" t="str">
        <f t="shared" si="6"/>
        <v/>
      </c>
      <c r="O88" s="48" t="str">
        <f>IF(B88="","",COUNTIF($B$7:B88,B88))</f>
        <v/>
      </c>
      <c r="P88" s="48" t="str">
        <f t="shared" si="7"/>
        <v/>
      </c>
      <c r="Q88" s="48" t="str">
        <f t="shared" si="8"/>
        <v/>
      </c>
      <c r="R88" s="48" t="str">
        <f t="shared" si="9"/>
        <v/>
      </c>
    </row>
    <row r="89" spans="1:18" ht="16" x14ac:dyDescent="0.2">
      <c r="A89" s="50"/>
      <c r="B89" s="47"/>
      <c r="C89" s="48" t="str">
        <f>IF(B89="","",IFERROR(INDEX(Tenants!$B$6:$B$35,MATCH(B89,Tenants!$A$6:$A$35,0)),"Unit not found"))</f>
        <v/>
      </c>
      <c r="D89" s="48" t="str">
        <f>IF(B89="","",IF(J89="Y","(vacant)",IFERROR(INDEX(Tenants!$C$6:$C$35,MATCH(B89,Tenants!$A$6:$A$35,0)),"")))</f>
        <v/>
      </c>
      <c r="E89" s="56"/>
      <c r="F89" s="56"/>
      <c r="G89" s="56"/>
      <c r="H89" s="50"/>
      <c r="I89" s="47"/>
      <c r="J89" s="47"/>
      <c r="K89" s="48" t="str">
        <f ca="1">IF(B89="","",IF(UPPER(J89)="Y","Vacant",IF(AND(G89&gt;0,G89&gt;=E89+F89),IF(AND(H89&lt;&gt;"",A89&lt;&gt;"",H89&gt;A89+Settings!$C$7),"Paid late","Paid"),IF(G89&gt;0,"Partial",IF(AND(A89&lt;&gt;"",TODAY()&gt;A89+Settings!$C$7),"Unpaid","Due")))))</f>
        <v/>
      </c>
      <c r="L89" s="52" t="str">
        <f t="shared" si="5"/>
        <v/>
      </c>
      <c r="M89" s="47"/>
      <c r="N89" s="48" t="str">
        <f t="shared" si="6"/>
        <v/>
      </c>
      <c r="O89" s="48" t="str">
        <f>IF(B89="","",COUNTIF($B$7:B89,B89))</f>
        <v/>
      </c>
      <c r="P89" s="48" t="str">
        <f t="shared" si="7"/>
        <v/>
      </c>
      <c r="Q89" s="48" t="str">
        <f t="shared" si="8"/>
        <v/>
      </c>
      <c r="R89" s="48" t="str">
        <f t="shared" si="9"/>
        <v/>
      </c>
    </row>
    <row r="90" spans="1:18" ht="16" x14ac:dyDescent="0.2">
      <c r="A90" s="50"/>
      <c r="B90" s="47"/>
      <c r="C90" s="48" t="str">
        <f>IF(B90="","",IFERROR(INDEX(Tenants!$B$6:$B$35,MATCH(B90,Tenants!$A$6:$A$35,0)),"Unit not found"))</f>
        <v/>
      </c>
      <c r="D90" s="48" t="str">
        <f>IF(B90="","",IF(J90="Y","(vacant)",IFERROR(INDEX(Tenants!$C$6:$C$35,MATCH(B90,Tenants!$A$6:$A$35,0)),"")))</f>
        <v/>
      </c>
      <c r="E90" s="56"/>
      <c r="F90" s="56"/>
      <c r="G90" s="56"/>
      <c r="H90" s="50"/>
      <c r="I90" s="47"/>
      <c r="J90" s="47"/>
      <c r="K90" s="48" t="str">
        <f ca="1">IF(B90="","",IF(UPPER(J90)="Y","Vacant",IF(AND(G90&gt;0,G90&gt;=E90+F90),IF(AND(H90&lt;&gt;"",A90&lt;&gt;"",H90&gt;A90+Settings!$C$7),"Paid late","Paid"),IF(G90&gt;0,"Partial",IF(AND(A90&lt;&gt;"",TODAY()&gt;A90+Settings!$C$7),"Unpaid","Due")))))</f>
        <v/>
      </c>
      <c r="L90" s="52" t="str">
        <f t="shared" si="5"/>
        <v/>
      </c>
      <c r="M90" s="47"/>
      <c r="N90" s="48" t="str">
        <f t="shared" si="6"/>
        <v/>
      </c>
      <c r="O90" s="48" t="str">
        <f>IF(B90="","",COUNTIF($B$7:B90,B90))</f>
        <v/>
      </c>
      <c r="P90" s="48" t="str">
        <f t="shared" si="7"/>
        <v/>
      </c>
      <c r="Q90" s="48" t="str">
        <f t="shared" si="8"/>
        <v/>
      </c>
      <c r="R90" s="48" t="str">
        <f t="shared" si="9"/>
        <v/>
      </c>
    </row>
    <row r="91" spans="1:18" ht="16" x14ac:dyDescent="0.2">
      <c r="A91" s="50"/>
      <c r="B91" s="47"/>
      <c r="C91" s="48" t="str">
        <f>IF(B91="","",IFERROR(INDEX(Tenants!$B$6:$B$35,MATCH(B91,Tenants!$A$6:$A$35,0)),"Unit not found"))</f>
        <v/>
      </c>
      <c r="D91" s="48" t="str">
        <f>IF(B91="","",IF(J91="Y","(vacant)",IFERROR(INDEX(Tenants!$C$6:$C$35,MATCH(B91,Tenants!$A$6:$A$35,0)),"")))</f>
        <v/>
      </c>
      <c r="E91" s="56"/>
      <c r="F91" s="56"/>
      <c r="G91" s="56"/>
      <c r="H91" s="50"/>
      <c r="I91" s="47"/>
      <c r="J91" s="47"/>
      <c r="K91" s="48" t="str">
        <f ca="1">IF(B91="","",IF(UPPER(J91)="Y","Vacant",IF(AND(G91&gt;0,G91&gt;=E91+F91),IF(AND(H91&lt;&gt;"",A91&lt;&gt;"",H91&gt;A91+Settings!$C$7),"Paid late","Paid"),IF(G91&gt;0,"Partial",IF(AND(A91&lt;&gt;"",TODAY()&gt;A91+Settings!$C$7),"Unpaid","Due")))))</f>
        <v/>
      </c>
      <c r="L91" s="52" t="str">
        <f t="shared" si="5"/>
        <v/>
      </c>
      <c r="M91" s="47"/>
      <c r="N91" s="48" t="str">
        <f t="shared" si="6"/>
        <v/>
      </c>
      <c r="O91" s="48" t="str">
        <f>IF(B91="","",COUNTIF($B$7:B91,B91))</f>
        <v/>
      </c>
      <c r="P91" s="48" t="str">
        <f t="shared" si="7"/>
        <v/>
      </c>
      <c r="Q91" s="48" t="str">
        <f t="shared" si="8"/>
        <v/>
      </c>
      <c r="R91" s="48" t="str">
        <f t="shared" si="9"/>
        <v/>
      </c>
    </row>
    <row r="92" spans="1:18" ht="16" x14ac:dyDescent="0.2">
      <c r="A92" s="50"/>
      <c r="B92" s="47"/>
      <c r="C92" s="48" t="str">
        <f>IF(B92="","",IFERROR(INDEX(Tenants!$B$6:$B$35,MATCH(B92,Tenants!$A$6:$A$35,0)),"Unit not found"))</f>
        <v/>
      </c>
      <c r="D92" s="48" t="str">
        <f>IF(B92="","",IF(J92="Y","(vacant)",IFERROR(INDEX(Tenants!$C$6:$C$35,MATCH(B92,Tenants!$A$6:$A$35,0)),"")))</f>
        <v/>
      </c>
      <c r="E92" s="56"/>
      <c r="F92" s="56"/>
      <c r="G92" s="56"/>
      <c r="H92" s="50"/>
      <c r="I92" s="47"/>
      <c r="J92" s="47"/>
      <c r="K92" s="48" t="str">
        <f ca="1">IF(B92="","",IF(UPPER(J92)="Y","Vacant",IF(AND(G92&gt;0,G92&gt;=E92+F92),IF(AND(H92&lt;&gt;"",A92&lt;&gt;"",H92&gt;A92+Settings!$C$7),"Paid late","Paid"),IF(G92&gt;0,"Partial",IF(AND(A92&lt;&gt;"",TODAY()&gt;A92+Settings!$C$7),"Unpaid","Due")))))</f>
        <v/>
      </c>
      <c r="L92" s="52" t="str">
        <f t="shared" si="5"/>
        <v/>
      </c>
      <c r="M92" s="47"/>
      <c r="N92" s="48" t="str">
        <f t="shared" si="6"/>
        <v/>
      </c>
      <c r="O92" s="48" t="str">
        <f>IF(B92="","",COUNTIF($B$7:B92,B92))</f>
        <v/>
      </c>
      <c r="P92" s="48" t="str">
        <f t="shared" si="7"/>
        <v/>
      </c>
      <c r="Q92" s="48" t="str">
        <f t="shared" si="8"/>
        <v/>
      </c>
      <c r="R92" s="48" t="str">
        <f t="shared" si="9"/>
        <v/>
      </c>
    </row>
    <row r="93" spans="1:18" ht="16" x14ac:dyDescent="0.2">
      <c r="A93" s="50"/>
      <c r="B93" s="47"/>
      <c r="C93" s="48" t="str">
        <f>IF(B93="","",IFERROR(INDEX(Tenants!$B$6:$B$35,MATCH(B93,Tenants!$A$6:$A$35,0)),"Unit not found"))</f>
        <v/>
      </c>
      <c r="D93" s="48" t="str">
        <f>IF(B93="","",IF(J93="Y","(vacant)",IFERROR(INDEX(Tenants!$C$6:$C$35,MATCH(B93,Tenants!$A$6:$A$35,0)),"")))</f>
        <v/>
      </c>
      <c r="E93" s="56"/>
      <c r="F93" s="56"/>
      <c r="G93" s="56"/>
      <c r="H93" s="50"/>
      <c r="I93" s="47"/>
      <c r="J93" s="47"/>
      <c r="K93" s="48" t="str">
        <f ca="1">IF(B93="","",IF(UPPER(J93)="Y","Vacant",IF(AND(G93&gt;0,G93&gt;=E93+F93),IF(AND(H93&lt;&gt;"",A93&lt;&gt;"",H93&gt;A93+Settings!$C$7),"Paid late","Paid"),IF(G93&gt;0,"Partial",IF(AND(A93&lt;&gt;"",TODAY()&gt;A93+Settings!$C$7),"Unpaid","Due")))))</f>
        <v/>
      </c>
      <c r="L93" s="52" t="str">
        <f t="shared" si="5"/>
        <v/>
      </c>
      <c r="M93" s="47"/>
      <c r="N93" s="48" t="str">
        <f t="shared" si="6"/>
        <v/>
      </c>
      <c r="O93" s="48" t="str">
        <f>IF(B93="","",COUNTIF($B$7:B93,B93))</f>
        <v/>
      </c>
      <c r="P93" s="48" t="str">
        <f t="shared" si="7"/>
        <v/>
      </c>
      <c r="Q93" s="48" t="str">
        <f t="shared" si="8"/>
        <v/>
      </c>
      <c r="R93" s="48" t="str">
        <f t="shared" si="9"/>
        <v/>
      </c>
    </row>
    <row r="94" spans="1:18" ht="16" x14ac:dyDescent="0.2">
      <c r="A94" s="50"/>
      <c r="B94" s="47"/>
      <c r="C94" s="48" t="str">
        <f>IF(B94="","",IFERROR(INDEX(Tenants!$B$6:$B$35,MATCH(B94,Tenants!$A$6:$A$35,0)),"Unit not found"))</f>
        <v/>
      </c>
      <c r="D94" s="48" t="str">
        <f>IF(B94="","",IF(J94="Y","(vacant)",IFERROR(INDEX(Tenants!$C$6:$C$35,MATCH(B94,Tenants!$A$6:$A$35,0)),"")))</f>
        <v/>
      </c>
      <c r="E94" s="56"/>
      <c r="F94" s="56"/>
      <c r="G94" s="56"/>
      <c r="H94" s="50"/>
      <c r="I94" s="47"/>
      <c r="J94" s="47"/>
      <c r="K94" s="48" t="str">
        <f ca="1">IF(B94="","",IF(UPPER(J94)="Y","Vacant",IF(AND(G94&gt;0,G94&gt;=E94+F94),IF(AND(H94&lt;&gt;"",A94&lt;&gt;"",H94&gt;A94+Settings!$C$7),"Paid late","Paid"),IF(G94&gt;0,"Partial",IF(AND(A94&lt;&gt;"",TODAY()&gt;A94+Settings!$C$7),"Unpaid","Due")))))</f>
        <v/>
      </c>
      <c r="L94" s="52" t="str">
        <f t="shared" si="5"/>
        <v/>
      </c>
      <c r="M94" s="47"/>
      <c r="N94" s="48" t="str">
        <f t="shared" si="6"/>
        <v/>
      </c>
      <c r="O94" s="48" t="str">
        <f>IF(B94="","",COUNTIF($B$7:B94,B94))</f>
        <v/>
      </c>
      <c r="P94" s="48" t="str">
        <f t="shared" si="7"/>
        <v/>
      </c>
      <c r="Q94" s="48" t="str">
        <f t="shared" si="8"/>
        <v/>
      </c>
      <c r="R94" s="48" t="str">
        <f t="shared" si="9"/>
        <v/>
      </c>
    </row>
    <row r="95" spans="1:18" ht="16" x14ac:dyDescent="0.2">
      <c r="A95" s="50"/>
      <c r="B95" s="47"/>
      <c r="C95" s="48" t="str">
        <f>IF(B95="","",IFERROR(INDEX(Tenants!$B$6:$B$35,MATCH(B95,Tenants!$A$6:$A$35,0)),"Unit not found"))</f>
        <v/>
      </c>
      <c r="D95" s="48" t="str">
        <f>IF(B95="","",IF(J95="Y","(vacant)",IFERROR(INDEX(Tenants!$C$6:$C$35,MATCH(B95,Tenants!$A$6:$A$35,0)),"")))</f>
        <v/>
      </c>
      <c r="E95" s="56"/>
      <c r="F95" s="56"/>
      <c r="G95" s="56"/>
      <c r="H95" s="50"/>
      <c r="I95" s="47"/>
      <c r="J95" s="47"/>
      <c r="K95" s="48" t="str">
        <f ca="1">IF(B95="","",IF(UPPER(J95)="Y","Vacant",IF(AND(G95&gt;0,G95&gt;=E95+F95),IF(AND(H95&lt;&gt;"",A95&lt;&gt;"",H95&gt;A95+Settings!$C$7),"Paid late","Paid"),IF(G95&gt;0,"Partial",IF(AND(A95&lt;&gt;"",TODAY()&gt;A95+Settings!$C$7),"Unpaid","Due")))))</f>
        <v/>
      </c>
      <c r="L95" s="52" t="str">
        <f t="shared" si="5"/>
        <v/>
      </c>
      <c r="M95" s="47"/>
      <c r="N95" s="48" t="str">
        <f t="shared" si="6"/>
        <v/>
      </c>
      <c r="O95" s="48" t="str">
        <f>IF(B95="","",COUNTIF($B$7:B95,B95))</f>
        <v/>
      </c>
      <c r="P95" s="48" t="str">
        <f t="shared" si="7"/>
        <v/>
      </c>
      <c r="Q95" s="48" t="str">
        <f t="shared" si="8"/>
        <v/>
      </c>
      <c r="R95" s="48" t="str">
        <f t="shared" si="9"/>
        <v/>
      </c>
    </row>
    <row r="96" spans="1:18" ht="16" x14ac:dyDescent="0.2">
      <c r="A96" s="50"/>
      <c r="B96" s="47"/>
      <c r="C96" s="48" t="str">
        <f>IF(B96="","",IFERROR(INDEX(Tenants!$B$6:$B$35,MATCH(B96,Tenants!$A$6:$A$35,0)),"Unit not found"))</f>
        <v/>
      </c>
      <c r="D96" s="48" t="str">
        <f>IF(B96="","",IF(J96="Y","(vacant)",IFERROR(INDEX(Tenants!$C$6:$C$35,MATCH(B96,Tenants!$A$6:$A$35,0)),"")))</f>
        <v/>
      </c>
      <c r="E96" s="56"/>
      <c r="F96" s="56"/>
      <c r="G96" s="56"/>
      <c r="H96" s="50"/>
      <c r="I96" s="47"/>
      <c r="J96" s="47"/>
      <c r="K96" s="48" t="str">
        <f ca="1">IF(B96="","",IF(UPPER(J96)="Y","Vacant",IF(AND(G96&gt;0,G96&gt;=E96+F96),IF(AND(H96&lt;&gt;"",A96&lt;&gt;"",H96&gt;A96+Settings!$C$7),"Paid late","Paid"),IF(G96&gt;0,"Partial",IF(AND(A96&lt;&gt;"",TODAY()&gt;A96+Settings!$C$7),"Unpaid","Due")))))</f>
        <v/>
      </c>
      <c r="L96" s="52" t="str">
        <f t="shared" si="5"/>
        <v/>
      </c>
      <c r="M96" s="47"/>
      <c r="N96" s="48" t="str">
        <f t="shared" si="6"/>
        <v/>
      </c>
      <c r="O96" s="48" t="str">
        <f>IF(B96="","",COUNTIF($B$7:B96,B96))</f>
        <v/>
      </c>
      <c r="P96" s="48" t="str">
        <f t="shared" si="7"/>
        <v/>
      </c>
      <c r="Q96" s="48" t="str">
        <f t="shared" si="8"/>
        <v/>
      </c>
      <c r="R96" s="48" t="str">
        <f t="shared" si="9"/>
        <v/>
      </c>
    </row>
    <row r="97" spans="1:18" ht="16" x14ac:dyDescent="0.2">
      <c r="A97" s="50"/>
      <c r="B97" s="47"/>
      <c r="C97" s="48" t="str">
        <f>IF(B97="","",IFERROR(INDEX(Tenants!$B$6:$B$35,MATCH(B97,Tenants!$A$6:$A$35,0)),"Unit not found"))</f>
        <v/>
      </c>
      <c r="D97" s="48" t="str">
        <f>IF(B97="","",IF(J97="Y","(vacant)",IFERROR(INDEX(Tenants!$C$6:$C$35,MATCH(B97,Tenants!$A$6:$A$35,0)),"")))</f>
        <v/>
      </c>
      <c r="E97" s="56"/>
      <c r="F97" s="56"/>
      <c r="G97" s="56"/>
      <c r="H97" s="50"/>
      <c r="I97" s="47"/>
      <c r="J97" s="47"/>
      <c r="K97" s="48" t="str">
        <f ca="1">IF(B97="","",IF(UPPER(J97)="Y","Vacant",IF(AND(G97&gt;0,G97&gt;=E97+F97),IF(AND(H97&lt;&gt;"",A97&lt;&gt;"",H97&gt;A97+Settings!$C$7),"Paid late","Paid"),IF(G97&gt;0,"Partial",IF(AND(A97&lt;&gt;"",TODAY()&gt;A97+Settings!$C$7),"Unpaid","Due")))))</f>
        <v/>
      </c>
      <c r="L97" s="52" t="str">
        <f t="shared" si="5"/>
        <v/>
      </c>
      <c r="M97" s="47"/>
      <c r="N97" s="48" t="str">
        <f t="shared" si="6"/>
        <v/>
      </c>
      <c r="O97" s="48" t="str">
        <f>IF(B97="","",COUNTIF($B$7:B97,B97))</f>
        <v/>
      </c>
      <c r="P97" s="48" t="str">
        <f t="shared" si="7"/>
        <v/>
      </c>
      <c r="Q97" s="48" t="str">
        <f t="shared" si="8"/>
        <v/>
      </c>
      <c r="R97" s="48" t="str">
        <f t="shared" si="9"/>
        <v/>
      </c>
    </row>
    <row r="98" spans="1:18" ht="16" x14ac:dyDescent="0.2">
      <c r="A98" s="50"/>
      <c r="B98" s="47"/>
      <c r="C98" s="48" t="str">
        <f>IF(B98="","",IFERROR(INDEX(Tenants!$B$6:$B$35,MATCH(B98,Tenants!$A$6:$A$35,0)),"Unit not found"))</f>
        <v/>
      </c>
      <c r="D98" s="48" t="str">
        <f>IF(B98="","",IF(J98="Y","(vacant)",IFERROR(INDEX(Tenants!$C$6:$C$35,MATCH(B98,Tenants!$A$6:$A$35,0)),"")))</f>
        <v/>
      </c>
      <c r="E98" s="56"/>
      <c r="F98" s="56"/>
      <c r="G98" s="56"/>
      <c r="H98" s="50"/>
      <c r="I98" s="47"/>
      <c r="J98" s="47"/>
      <c r="K98" s="48" t="str">
        <f ca="1">IF(B98="","",IF(UPPER(J98)="Y","Vacant",IF(AND(G98&gt;0,G98&gt;=E98+F98),IF(AND(H98&lt;&gt;"",A98&lt;&gt;"",H98&gt;A98+Settings!$C$7),"Paid late","Paid"),IF(G98&gt;0,"Partial",IF(AND(A98&lt;&gt;"",TODAY()&gt;A98+Settings!$C$7),"Unpaid","Due")))))</f>
        <v/>
      </c>
      <c r="L98" s="52" t="str">
        <f t="shared" si="5"/>
        <v/>
      </c>
      <c r="M98" s="47"/>
      <c r="N98" s="48" t="str">
        <f t="shared" si="6"/>
        <v/>
      </c>
      <c r="O98" s="48" t="str">
        <f>IF(B98="","",COUNTIF($B$7:B98,B98))</f>
        <v/>
      </c>
      <c r="P98" s="48" t="str">
        <f t="shared" si="7"/>
        <v/>
      </c>
      <c r="Q98" s="48" t="str">
        <f t="shared" si="8"/>
        <v/>
      </c>
      <c r="R98" s="48" t="str">
        <f t="shared" si="9"/>
        <v/>
      </c>
    </row>
    <row r="99" spans="1:18" ht="16" x14ac:dyDescent="0.2">
      <c r="A99" s="50"/>
      <c r="B99" s="47"/>
      <c r="C99" s="48" t="str">
        <f>IF(B99="","",IFERROR(INDEX(Tenants!$B$6:$B$35,MATCH(B99,Tenants!$A$6:$A$35,0)),"Unit not found"))</f>
        <v/>
      </c>
      <c r="D99" s="48" t="str">
        <f>IF(B99="","",IF(J99="Y","(vacant)",IFERROR(INDEX(Tenants!$C$6:$C$35,MATCH(B99,Tenants!$A$6:$A$35,0)),"")))</f>
        <v/>
      </c>
      <c r="E99" s="56"/>
      <c r="F99" s="56"/>
      <c r="G99" s="56"/>
      <c r="H99" s="50"/>
      <c r="I99" s="47"/>
      <c r="J99" s="47"/>
      <c r="K99" s="48" t="str">
        <f ca="1">IF(B99="","",IF(UPPER(J99)="Y","Vacant",IF(AND(G99&gt;0,G99&gt;=E99+F99),IF(AND(H99&lt;&gt;"",A99&lt;&gt;"",H99&gt;A99+Settings!$C$7),"Paid late","Paid"),IF(G99&gt;0,"Partial",IF(AND(A99&lt;&gt;"",TODAY()&gt;A99+Settings!$C$7),"Unpaid","Due")))))</f>
        <v/>
      </c>
      <c r="L99" s="52" t="str">
        <f t="shared" si="5"/>
        <v/>
      </c>
      <c r="M99" s="47"/>
      <c r="N99" s="48" t="str">
        <f t="shared" si="6"/>
        <v/>
      </c>
      <c r="O99" s="48" t="str">
        <f>IF(B99="","",COUNTIF($B$7:B99,B99))</f>
        <v/>
      </c>
      <c r="P99" s="48" t="str">
        <f t="shared" si="7"/>
        <v/>
      </c>
      <c r="Q99" s="48" t="str">
        <f t="shared" si="8"/>
        <v/>
      </c>
      <c r="R99" s="48" t="str">
        <f t="shared" si="9"/>
        <v/>
      </c>
    </row>
    <row r="100" spans="1:18" ht="16" x14ac:dyDescent="0.2">
      <c r="A100" s="50"/>
      <c r="B100" s="47"/>
      <c r="C100" s="48" t="str">
        <f>IF(B100="","",IFERROR(INDEX(Tenants!$B$6:$B$35,MATCH(B100,Tenants!$A$6:$A$35,0)),"Unit not found"))</f>
        <v/>
      </c>
      <c r="D100" s="48" t="str">
        <f>IF(B100="","",IF(J100="Y","(vacant)",IFERROR(INDEX(Tenants!$C$6:$C$35,MATCH(B100,Tenants!$A$6:$A$35,0)),"")))</f>
        <v/>
      </c>
      <c r="E100" s="56"/>
      <c r="F100" s="56"/>
      <c r="G100" s="56"/>
      <c r="H100" s="50"/>
      <c r="I100" s="47"/>
      <c r="J100" s="47"/>
      <c r="K100" s="48" t="str">
        <f ca="1">IF(B100="","",IF(UPPER(J100)="Y","Vacant",IF(AND(G100&gt;0,G100&gt;=E100+F100),IF(AND(H100&lt;&gt;"",A100&lt;&gt;"",H100&gt;A100+Settings!$C$7),"Paid late","Paid"),IF(G100&gt;0,"Partial",IF(AND(A100&lt;&gt;"",TODAY()&gt;A100+Settings!$C$7),"Unpaid","Due")))))</f>
        <v/>
      </c>
      <c r="L100" s="52" t="str">
        <f t="shared" si="5"/>
        <v/>
      </c>
      <c r="M100" s="47"/>
      <c r="N100" s="48" t="str">
        <f t="shared" si="6"/>
        <v/>
      </c>
      <c r="O100" s="48" t="str">
        <f>IF(B100="","",COUNTIF($B$7:B100,B100))</f>
        <v/>
      </c>
      <c r="P100" s="48" t="str">
        <f t="shared" si="7"/>
        <v/>
      </c>
      <c r="Q100" s="48" t="str">
        <f t="shared" si="8"/>
        <v/>
      </c>
      <c r="R100" s="48" t="str">
        <f t="shared" si="9"/>
        <v/>
      </c>
    </row>
    <row r="101" spans="1:18" ht="16" x14ac:dyDescent="0.2">
      <c r="A101" s="50"/>
      <c r="B101" s="47"/>
      <c r="C101" s="48" t="str">
        <f>IF(B101="","",IFERROR(INDEX(Tenants!$B$6:$B$35,MATCH(B101,Tenants!$A$6:$A$35,0)),"Unit not found"))</f>
        <v/>
      </c>
      <c r="D101" s="48" t="str">
        <f>IF(B101="","",IF(J101="Y","(vacant)",IFERROR(INDEX(Tenants!$C$6:$C$35,MATCH(B101,Tenants!$A$6:$A$35,0)),"")))</f>
        <v/>
      </c>
      <c r="E101" s="56"/>
      <c r="F101" s="56"/>
      <c r="G101" s="56"/>
      <c r="H101" s="50"/>
      <c r="I101" s="47"/>
      <c r="J101" s="47"/>
      <c r="K101" s="48" t="str">
        <f ca="1">IF(B101="","",IF(UPPER(J101)="Y","Vacant",IF(AND(G101&gt;0,G101&gt;=E101+F101),IF(AND(H101&lt;&gt;"",A101&lt;&gt;"",H101&gt;A101+Settings!$C$7),"Paid late","Paid"),IF(G101&gt;0,"Partial",IF(AND(A101&lt;&gt;"",TODAY()&gt;A101+Settings!$C$7),"Unpaid","Due")))))</f>
        <v/>
      </c>
      <c r="L101" s="52" t="str">
        <f t="shared" si="5"/>
        <v/>
      </c>
      <c r="M101" s="47"/>
      <c r="N101" s="48" t="str">
        <f t="shared" si="6"/>
        <v/>
      </c>
      <c r="O101" s="48" t="str">
        <f>IF(B101="","",COUNTIF($B$7:B101,B101))</f>
        <v/>
      </c>
      <c r="P101" s="48" t="str">
        <f t="shared" si="7"/>
        <v/>
      </c>
      <c r="Q101" s="48" t="str">
        <f t="shared" si="8"/>
        <v/>
      </c>
      <c r="R101" s="48" t="str">
        <f t="shared" si="9"/>
        <v/>
      </c>
    </row>
    <row r="102" spans="1:18" ht="16" x14ac:dyDescent="0.2">
      <c r="A102" s="50"/>
      <c r="B102" s="47"/>
      <c r="C102" s="48" t="str">
        <f>IF(B102="","",IFERROR(INDEX(Tenants!$B$6:$B$35,MATCH(B102,Tenants!$A$6:$A$35,0)),"Unit not found"))</f>
        <v/>
      </c>
      <c r="D102" s="48" t="str">
        <f>IF(B102="","",IF(J102="Y","(vacant)",IFERROR(INDEX(Tenants!$C$6:$C$35,MATCH(B102,Tenants!$A$6:$A$35,0)),"")))</f>
        <v/>
      </c>
      <c r="E102" s="56"/>
      <c r="F102" s="56"/>
      <c r="G102" s="56"/>
      <c r="H102" s="50"/>
      <c r="I102" s="47"/>
      <c r="J102" s="47"/>
      <c r="K102" s="48" t="str">
        <f ca="1">IF(B102="","",IF(UPPER(J102)="Y","Vacant",IF(AND(G102&gt;0,G102&gt;=E102+F102),IF(AND(H102&lt;&gt;"",A102&lt;&gt;"",H102&gt;A102+Settings!$C$7),"Paid late","Paid"),IF(G102&gt;0,"Partial",IF(AND(A102&lt;&gt;"",TODAY()&gt;A102+Settings!$C$7),"Unpaid","Due")))))</f>
        <v/>
      </c>
      <c r="L102" s="52" t="str">
        <f t="shared" si="5"/>
        <v/>
      </c>
      <c r="M102" s="47"/>
      <c r="N102" s="48" t="str">
        <f t="shared" si="6"/>
        <v/>
      </c>
      <c r="O102" s="48" t="str">
        <f>IF(B102="","",COUNTIF($B$7:B102,B102))</f>
        <v/>
      </c>
      <c r="P102" s="48" t="str">
        <f t="shared" si="7"/>
        <v/>
      </c>
      <c r="Q102" s="48" t="str">
        <f t="shared" si="8"/>
        <v/>
      </c>
      <c r="R102" s="48" t="str">
        <f t="shared" si="9"/>
        <v/>
      </c>
    </row>
    <row r="103" spans="1:18" ht="16" x14ac:dyDescent="0.2">
      <c r="A103" s="50"/>
      <c r="B103" s="47"/>
      <c r="C103" s="48" t="str">
        <f>IF(B103="","",IFERROR(INDEX(Tenants!$B$6:$B$35,MATCH(B103,Tenants!$A$6:$A$35,0)),"Unit not found"))</f>
        <v/>
      </c>
      <c r="D103" s="48" t="str">
        <f>IF(B103="","",IF(J103="Y","(vacant)",IFERROR(INDEX(Tenants!$C$6:$C$35,MATCH(B103,Tenants!$A$6:$A$35,0)),"")))</f>
        <v/>
      </c>
      <c r="E103" s="56"/>
      <c r="F103" s="56"/>
      <c r="G103" s="56"/>
      <c r="H103" s="50"/>
      <c r="I103" s="47"/>
      <c r="J103" s="47"/>
      <c r="K103" s="48" t="str">
        <f ca="1">IF(B103="","",IF(UPPER(J103)="Y","Vacant",IF(AND(G103&gt;0,G103&gt;=E103+F103),IF(AND(H103&lt;&gt;"",A103&lt;&gt;"",H103&gt;A103+Settings!$C$7),"Paid late","Paid"),IF(G103&gt;0,"Partial",IF(AND(A103&lt;&gt;"",TODAY()&gt;A103+Settings!$C$7),"Unpaid","Due")))))</f>
        <v/>
      </c>
      <c r="L103" s="52" t="str">
        <f t="shared" si="5"/>
        <v/>
      </c>
      <c r="M103" s="47"/>
      <c r="N103" s="48" t="str">
        <f t="shared" si="6"/>
        <v/>
      </c>
      <c r="O103" s="48" t="str">
        <f>IF(B103="","",COUNTIF($B$7:B103,B103))</f>
        <v/>
      </c>
      <c r="P103" s="48" t="str">
        <f t="shared" si="7"/>
        <v/>
      </c>
      <c r="Q103" s="48" t="str">
        <f t="shared" si="8"/>
        <v/>
      </c>
      <c r="R103" s="48" t="str">
        <f t="shared" si="9"/>
        <v/>
      </c>
    </row>
    <row r="104" spans="1:18" ht="16" x14ac:dyDescent="0.2">
      <c r="A104" s="50"/>
      <c r="B104" s="47"/>
      <c r="C104" s="48" t="str">
        <f>IF(B104="","",IFERROR(INDEX(Tenants!$B$6:$B$35,MATCH(B104,Tenants!$A$6:$A$35,0)),"Unit not found"))</f>
        <v/>
      </c>
      <c r="D104" s="48" t="str">
        <f>IF(B104="","",IF(J104="Y","(vacant)",IFERROR(INDEX(Tenants!$C$6:$C$35,MATCH(B104,Tenants!$A$6:$A$35,0)),"")))</f>
        <v/>
      </c>
      <c r="E104" s="56"/>
      <c r="F104" s="56"/>
      <c r="G104" s="56"/>
      <c r="H104" s="50"/>
      <c r="I104" s="47"/>
      <c r="J104" s="47"/>
      <c r="K104" s="48" t="str">
        <f ca="1">IF(B104="","",IF(UPPER(J104)="Y","Vacant",IF(AND(G104&gt;0,G104&gt;=E104+F104),IF(AND(H104&lt;&gt;"",A104&lt;&gt;"",H104&gt;A104+Settings!$C$7),"Paid late","Paid"),IF(G104&gt;0,"Partial",IF(AND(A104&lt;&gt;"",TODAY()&gt;A104+Settings!$C$7),"Unpaid","Due")))))</f>
        <v/>
      </c>
      <c r="L104" s="52" t="str">
        <f t="shared" si="5"/>
        <v/>
      </c>
      <c r="M104" s="47"/>
      <c r="N104" s="48" t="str">
        <f t="shared" si="6"/>
        <v/>
      </c>
      <c r="O104" s="48" t="str">
        <f>IF(B104="","",COUNTIF($B$7:B104,B104))</f>
        <v/>
      </c>
      <c r="P104" s="48" t="str">
        <f t="shared" si="7"/>
        <v/>
      </c>
      <c r="Q104" s="48" t="str">
        <f t="shared" si="8"/>
        <v/>
      </c>
      <c r="R104" s="48" t="str">
        <f t="shared" si="9"/>
        <v/>
      </c>
    </row>
    <row r="105" spans="1:18" ht="16" x14ac:dyDescent="0.2">
      <c r="A105" s="50"/>
      <c r="B105" s="47"/>
      <c r="C105" s="48" t="str">
        <f>IF(B105="","",IFERROR(INDEX(Tenants!$B$6:$B$35,MATCH(B105,Tenants!$A$6:$A$35,0)),"Unit not found"))</f>
        <v/>
      </c>
      <c r="D105" s="48" t="str">
        <f>IF(B105="","",IF(J105="Y","(vacant)",IFERROR(INDEX(Tenants!$C$6:$C$35,MATCH(B105,Tenants!$A$6:$A$35,0)),"")))</f>
        <v/>
      </c>
      <c r="E105" s="56"/>
      <c r="F105" s="56"/>
      <c r="G105" s="56"/>
      <c r="H105" s="50"/>
      <c r="I105" s="47"/>
      <c r="J105" s="47"/>
      <c r="K105" s="48" t="str">
        <f ca="1">IF(B105="","",IF(UPPER(J105)="Y","Vacant",IF(AND(G105&gt;0,G105&gt;=E105+F105),IF(AND(H105&lt;&gt;"",A105&lt;&gt;"",H105&gt;A105+Settings!$C$7),"Paid late","Paid"),IF(G105&gt;0,"Partial",IF(AND(A105&lt;&gt;"",TODAY()&gt;A105+Settings!$C$7),"Unpaid","Due")))))</f>
        <v/>
      </c>
      <c r="L105" s="52" t="str">
        <f t="shared" si="5"/>
        <v/>
      </c>
      <c r="M105" s="47"/>
      <c r="N105" s="48" t="str">
        <f t="shared" si="6"/>
        <v/>
      </c>
      <c r="O105" s="48" t="str">
        <f>IF(B105="","",COUNTIF($B$7:B105,B105))</f>
        <v/>
      </c>
      <c r="P105" s="48" t="str">
        <f t="shared" si="7"/>
        <v/>
      </c>
      <c r="Q105" s="48" t="str">
        <f t="shared" si="8"/>
        <v/>
      </c>
      <c r="R105" s="48" t="str">
        <f t="shared" si="9"/>
        <v/>
      </c>
    </row>
    <row r="106" spans="1:18" ht="16" x14ac:dyDescent="0.2">
      <c r="A106" s="50"/>
      <c r="B106" s="47"/>
      <c r="C106" s="48" t="str">
        <f>IF(B106="","",IFERROR(INDEX(Tenants!$B$6:$B$35,MATCH(B106,Tenants!$A$6:$A$35,0)),"Unit not found"))</f>
        <v/>
      </c>
      <c r="D106" s="48" t="str">
        <f>IF(B106="","",IF(J106="Y","(vacant)",IFERROR(INDEX(Tenants!$C$6:$C$35,MATCH(B106,Tenants!$A$6:$A$35,0)),"")))</f>
        <v/>
      </c>
      <c r="E106" s="56"/>
      <c r="F106" s="56"/>
      <c r="G106" s="56"/>
      <c r="H106" s="50"/>
      <c r="I106" s="47"/>
      <c r="J106" s="47"/>
      <c r="K106" s="48" t="str">
        <f ca="1">IF(B106="","",IF(UPPER(J106)="Y","Vacant",IF(AND(G106&gt;0,G106&gt;=E106+F106),IF(AND(H106&lt;&gt;"",A106&lt;&gt;"",H106&gt;A106+Settings!$C$7),"Paid late","Paid"),IF(G106&gt;0,"Partial",IF(AND(A106&lt;&gt;"",TODAY()&gt;A106+Settings!$C$7),"Unpaid","Due")))))</f>
        <v/>
      </c>
      <c r="L106" s="52" t="str">
        <f t="shared" si="5"/>
        <v/>
      </c>
      <c r="M106" s="47"/>
      <c r="N106" s="48" t="str">
        <f t="shared" si="6"/>
        <v/>
      </c>
      <c r="O106" s="48" t="str">
        <f>IF(B106="","",COUNTIF($B$7:B106,B106))</f>
        <v/>
      </c>
      <c r="P106" s="48" t="str">
        <f t="shared" si="7"/>
        <v/>
      </c>
      <c r="Q106" s="48" t="str">
        <f t="shared" si="8"/>
        <v/>
      </c>
      <c r="R106" s="48" t="str">
        <f t="shared" si="9"/>
        <v/>
      </c>
    </row>
    <row r="107" spans="1:18" ht="16" x14ac:dyDescent="0.2">
      <c r="A107" s="50"/>
      <c r="B107" s="47"/>
      <c r="C107" s="48" t="str">
        <f>IF(B107="","",IFERROR(INDEX(Tenants!$B$6:$B$35,MATCH(B107,Tenants!$A$6:$A$35,0)),"Unit not found"))</f>
        <v/>
      </c>
      <c r="D107" s="48" t="str">
        <f>IF(B107="","",IF(J107="Y","(vacant)",IFERROR(INDEX(Tenants!$C$6:$C$35,MATCH(B107,Tenants!$A$6:$A$35,0)),"")))</f>
        <v/>
      </c>
      <c r="E107" s="56"/>
      <c r="F107" s="56"/>
      <c r="G107" s="56"/>
      <c r="H107" s="50"/>
      <c r="I107" s="47"/>
      <c r="J107" s="47"/>
      <c r="K107" s="48" t="str">
        <f ca="1">IF(B107="","",IF(UPPER(J107)="Y","Vacant",IF(AND(G107&gt;0,G107&gt;=E107+F107),IF(AND(H107&lt;&gt;"",A107&lt;&gt;"",H107&gt;A107+Settings!$C$7),"Paid late","Paid"),IF(G107&gt;0,"Partial",IF(AND(A107&lt;&gt;"",TODAY()&gt;A107+Settings!$C$7),"Unpaid","Due")))))</f>
        <v/>
      </c>
      <c r="L107" s="52" t="str">
        <f t="shared" si="5"/>
        <v/>
      </c>
      <c r="M107" s="47"/>
      <c r="N107" s="48" t="str">
        <f t="shared" si="6"/>
        <v/>
      </c>
      <c r="O107" s="48" t="str">
        <f>IF(B107="","",COUNTIF($B$7:B107,B107))</f>
        <v/>
      </c>
      <c r="P107" s="48" t="str">
        <f t="shared" si="7"/>
        <v/>
      </c>
      <c r="Q107" s="48" t="str">
        <f t="shared" si="8"/>
        <v/>
      </c>
      <c r="R107" s="48" t="str">
        <f t="shared" si="9"/>
        <v/>
      </c>
    </row>
    <row r="108" spans="1:18" ht="16" x14ac:dyDescent="0.2">
      <c r="A108" s="50"/>
      <c r="B108" s="47"/>
      <c r="C108" s="48" t="str">
        <f>IF(B108="","",IFERROR(INDEX(Tenants!$B$6:$B$35,MATCH(B108,Tenants!$A$6:$A$35,0)),"Unit not found"))</f>
        <v/>
      </c>
      <c r="D108" s="48" t="str">
        <f>IF(B108="","",IF(J108="Y","(vacant)",IFERROR(INDEX(Tenants!$C$6:$C$35,MATCH(B108,Tenants!$A$6:$A$35,0)),"")))</f>
        <v/>
      </c>
      <c r="E108" s="56"/>
      <c r="F108" s="56"/>
      <c r="G108" s="56"/>
      <c r="H108" s="50"/>
      <c r="I108" s="47"/>
      <c r="J108" s="47"/>
      <c r="K108" s="48" t="str">
        <f ca="1">IF(B108="","",IF(UPPER(J108)="Y","Vacant",IF(AND(G108&gt;0,G108&gt;=E108+F108),IF(AND(H108&lt;&gt;"",A108&lt;&gt;"",H108&gt;A108+Settings!$C$7),"Paid late","Paid"),IF(G108&gt;0,"Partial",IF(AND(A108&lt;&gt;"",TODAY()&gt;A108+Settings!$C$7),"Unpaid","Due")))))</f>
        <v/>
      </c>
      <c r="L108" s="52" t="str">
        <f t="shared" si="5"/>
        <v/>
      </c>
      <c r="M108" s="47"/>
      <c r="N108" s="48" t="str">
        <f t="shared" si="6"/>
        <v/>
      </c>
      <c r="O108" s="48" t="str">
        <f>IF(B108="","",COUNTIF($B$7:B108,B108))</f>
        <v/>
      </c>
      <c r="P108" s="48" t="str">
        <f t="shared" si="7"/>
        <v/>
      </c>
      <c r="Q108" s="48" t="str">
        <f t="shared" si="8"/>
        <v/>
      </c>
      <c r="R108" s="48" t="str">
        <f t="shared" si="9"/>
        <v/>
      </c>
    </row>
    <row r="109" spans="1:18" ht="16" x14ac:dyDescent="0.2">
      <c r="A109" s="50"/>
      <c r="B109" s="47"/>
      <c r="C109" s="48" t="str">
        <f>IF(B109="","",IFERROR(INDEX(Tenants!$B$6:$B$35,MATCH(B109,Tenants!$A$6:$A$35,0)),"Unit not found"))</f>
        <v/>
      </c>
      <c r="D109" s="48" t="str">
        <f>IF(B109="","",IF(J109="Y","(vacant)",IFERROR(INDEX(Tenants!$C$6:$C$35,MATCH(B109,Tenants!$A$6:$A$35,0)),"")))</f>
        <v/>
      </c>
      <c r="E109" s="56"/>
      <c r="F109" s="56"/>
      <c r="G109" s="56"/>
      <c r="H109" s="50"/>
      <c r="I109" s="47"/>
      <c r="J109" s="47"/>
      <c r="K109" s="48" t="str">
        <f ca="1">IF(B109="","",IF(UPPER(J109)="Y","Vacant",IF(AND(G109&gt;0,G109&gt;=E109+F109),IF(AND(H109&lt;&gt;"",A109&lt;&gt;"",H109&gt;A109+Settings!$C$7),"Paid late","Paid"),IF(G109&gt;0,"Partial",IF(AND(A109&lt;&gt;"",TODAY()&gt;A109+Settings!$C$7),"Unpaid","Due")))))</f>
        <v/>
      </c>
      <c r="L109" s="52" t="str">
        <f t="shared" si="5"/>
        <v/>
      </c>
      <c r="M109" s="47"/>
      <c r="N109" s="48" t="str">
        <f t="shared" si="6"/>
        <v/>
      </c>
      <c r="O109" s="48" t="str">
        <f>IF(B109="","",COUNTIF($B$7:B109,B109))</f>
        <v/>
      </c>
      <c r="P109" s="48" t="str">
        <f t="shared" si="7"/>
        <v/>
      </c>
      <c r="Q109" s="48" t="str">
        <f t="shared" si="8"/>
        <v/>
      </c>
      <c r="R109" s="48" t="str">
        <f t="shared" si="9"/>
        <v/>
      </c>
    </row>
    <row r="110" spans="1:18" ht="16" x14ac:dyDescent="0.2">
      <c r="A110" s="50"/>
      <c r="B110" s="47"/>
      <c r="C110" s="48" t="str">
        <f>IF(B110="","",IFERROR(INDEX(Tenants!$B$6:$B$35,MATCH(B110,Tenants!$A$6:$A$35,0)),"Unit not found"))</f>
        <v/>
      </c>
      <c r="D110" s="48" t="str">
        <f>IF(B110="","",IF(J110="Y","(vacant)",IFERROR(INDEX(Tenants!$C$6:$C$35,MATCH(B110,Tenants!$A$6:$A$35,0)),"")))</f>
        <v/>
      </c>
      <c r="E110" s="56"/>
      <c r="F110" s="56"/>
      <c r="G110" s="56"/>
      <c r="H110" s="50"/>
      <c r="I110" s="47"/>
      <c r="J110" s="47"/>
      <c r="K110" s="48" t="str">
        <f ca="1">IF(B110="","",IF(UPPER(J110)="Y","Vacant",IF(AND(G110&gt;0,G110&gt;=E110+F110),IF(AND(H110&lt;&gt;"",A110&lt;&gt;"",H110&gt;A110+Settings!$C$7),"Paid late","Paid"),IF(G110&gt;0,"Partial",IF(AND(A110&lt;&gt;"",TODAY()&gt;A110+Settings!$C$7),"Unpaid","Due")))))</f>
        <v/>
      </c>
      <c r="L110" s="52" t="str">
        <f t="shared" si="5"/>
        <v/>
      </c>
      <c r="M110" s="47"/>
      <c r="N110" s="48" t="str">
        <f t="shared" si="6"/>
        <v/>
      </c>
      <c r="O110" s="48" t="str">
        <f>IF(B110="","",COUNTIF($B$7:B110,B110))</f>
        <v/>
      </c>
      <c r="P110" s="48" t="str">
        <f t="shared" si="7"/>
        <v/>
      </c>
      <c r="Q110" s="48" t="str">
        <f t="shared" si="8"/>
        <v/>
      </c>
      <c r="R110" s="48" t="str">
        <f t="shared" si="9"/>
        <v/>
      </c>
    </row>
    <row r="111" spans="1:18" ht="16" x14ac:dyDescent="0.2">
      <c r="A111" s="50"/>
      <c r="B111" s="47"/>
      <c r="C111" s="48" t="str">
        <f>IF(B111="","",IFERROR(INDEX(Tenants!$B$6:$B$35,MATCH(B111,Tenants!$A$6:$A$35,0)),"Unit not found"))</f>
        <v/>
      </c>
      <c r="D111" s="48" t="str">
        <f>IF(B111="","",IF(J111="Y","(vacant)",IFERROR(INDEX(Tenants!$C$6:$C$35,MATCH(B111,Tenants!$A$6:$A$35,0)),"")))</f>
        <v/>
      </c>
      <c r="E111" s="56"/>
      <c r="F111" s="56"/>
      <c r="G111" s="56"/>
      <c r="H111" s="50"/>
      <c r="I111" s="47"/>
      <c r="J111" s="47"/>
      <c r="K111" s="48" t="str">
        <f ca="1">IF(B111="","",IF(UPPER(J111)="Y","Vacant",IF(AND(G111&gt;0,G111&gt;=E111+F111),IF(AND(H111&lt;&gt;"",A111&lt;&gt;"",H111&gt;A111+Settings!$C$7),"Paid late","Paid"),IF(G111&gt;0,"Partial",IF(AND(A111&lt;&gt;"",TODAY()&gt;A111+Settings!$C$7),"Unpaid","Due")))))</f>
        <v/>
      </c>
      <c r="L111" s="52" t="str">
        <f t="shared" si="5"/>
        <v/>
      </c>
      <c r="M111" s="47"/>
      <c r="N111" s="48" t="str">
        <f t="shared" si="6"/>
        <v/>
      </c>
      <c r="O111" s="48" t="str">
        <f>IF(B111="","",COUNTIF($B$7:B111,B111))</f>
        <v/>
      </c>
      <c r="P111" s="48" t="str">
        <f t="shared" si="7"/>
        <v/>
      </c>
      <c r="Q111" s="48" t="str">
        <f t="shared" si="8"/>
        <v/>
      </c>
      <c r="R111" s="48" t="str">
        <f t="shared" si="9"/>
        <v/>
      </c>
    </row>
    <row r="112" spans="1:18" ht="16" x14ac:dyDescent="0.2">
      <c r="A112" s="50"/>
      <c r="B112" s="47"/>
      <c r="C112" s="48" t="str">
        <f>IF(B112="","",IFERROR(INDEX(Tenants!$B$6:$B$35,MATCH(B112,Tenants!$A$6:$A$35,0)),"Unit not found"))</f>
        <v/>
      </c>
      <c r="D112" s="48" t="str">
        <f>IF(B112="","",IF(J112="Y","(vacant)",IFERROR(INDEX(Tenants!$C$6:$C$35,MATCH(B112,Tenants!$A$6:$A$35,0)),"")))</f>
        <v/>
      </c>
      <c r="E112" s="56"/>
      <c r="F112" s="56"/>
      <c r="G112" s="56"/>
      <c r="H112" s="50"/>
      <c r="I112" s="47"/>
      <c r="J112" s="47"/>
      <c r="K112" s="48" t="str">
        <f ca="1">IF(B112="","",IF(UPPER(J112)="Y","Vacant",IF(AND(G112&gt;0,G112&gt;=E112+F112),IF(AND(H112&lt;&gt;"",A112&lt;&gt;"",H112&gt;A112+Settings!$C$7),"Paid late","Paid"),IF(G112&gt;0,"Partial",IF(AND(A112&lt;&gt;"",TODAY()&gt;A112+Settings!$C$7),"Unpaid","Due")))))</f>
        <v/>
      </c>
      <c r="L112" s="52" t="str">
        <f t="shared" si="5"/>
        <v/>
      </c>
      <c r="M112" s="47"/>
      <c r="N112" s="48" t="str">
        <f t="shared" si="6"/>
        <v/>
      </c>
      <c r="O112" s="48" t="str">
        <f>IF(B112="","",COUNTIF($B$7:B112,B112))</f>
        <v/>
      </c>
      <c r="P112" s="48" t="str">
        <f t="shared" si="7"/>
        <v/>
      </c>
      <c r="Q112" s="48" t="str">
        <f t="shared" si="8"/>
        <v/>
      </c>
      <c r="R112" s="48" t="str">
        <f t="shared" si="9"/>
        <v/>
      </c>
    </row>
    <row r="113" spans="1:18" ht="16" x14ac:dyDescent="0.2">
      <c r="A113" s="50"/>
      <c r="B113" s="47"/>
      <c r="C113" s="48" t="str">
        <f>IF(B113="","",IFERROR(INDEX(Tenants!$B$6:$B$35,MATCH(B113,Tenants!$A$6:$A$35,0)),"Unit not found"))</f>
        <v/>
      </c>
      <c r="D113" s="48" t="str">
        <f>IF(B113="","",IF(J113="Y","(vacant)",IFERROR(INDEX(Tenants!$C$6:$C$35,MATCH(B113,Tenants!$A$6:$A$35,0)),"")))</f>
        <v/>
      </c>
      <c r="E113" s="56"/>
      <c r="F113" s="56"/>
      <c r="G113" s="56"/>
      <c r="H113" s="50"/>
      <c r="I113" s="47"/>
      <c r="J113" s="47"/>
      <c r="K113" s="48" t="str">
        <f ca="1">IF(B113="","",IF(UPPER(J113)="Y","Vacant",IF(AND(G113&gt;0,G113&gt;=E113+F113),IF(AND(H113&lt;&gt;"",A113&lt;&gt;"",H113&gt;A113+Settings!$C$7),"Paid late","Paid"),IF(G113&gt;0,"Partial",IF(AND(A113&lt;&gt;"",TODAY()&gt;A113+Settings!$C$7),"Unpaid","Due")))))</f>
        <v/>
      </c>
      <c r="L113" s="52" t="str">
        <f t="shared" si="5"/>
        <v/>
      </c>
      <c r="M113" s="47"/>
      <c r="N113" s="48" t="str">
        <f t="shared" si="6"/>
        <v/>
      </c>
      <c r="O113" s="48" t="str">
        <f>IF(B113="","",COUNTIF($B$7:B113,B113))</f>
        <v/>
      </c>
      <c r="P113" s="48" t="str">
        <f t="shared" si="7"/>
        <v/>
      </c>
      <c r="Q113" s="48" t="str">
        <f t="shared" si="8"/>
        <v/>
      </c>
      <c r="R113" s="48" t="str">
        <f t="shared" si="9"/>
        <v/>
      </c>
    </row>
    <row r="114" spans="1:18" ht="16" x14ac:dyDescent="0.2">
      <c r="A114" s="50"/>
      <c r="B114" s="47"/>
      <c r="C114" s="48" t="str">
        <f>IF(B114="","",IFERROR(INDEX(Tenants!$B$6:$B$35,MATCH(B114,Tenants!$A$6:$A$35,0)),"Unit not found"))</f>
        <v/>
      </c>
      <c r="D114" s="48" t="str">
        <f>IF(B114="","",IF(J114="Y","(vacant)",IFERROR(INDEX(Tenants!$C$6:$C$35,MATCH(B114,Tenants!$A$6:$A$35,0)),"")))</f>
        <v/>
      </c>
      <c r="E114" s="56"/>
      <c r="F114" s="56"/>
      <c r="G114" s="56"/>
      <c r="H114" s="50"/>
      <c r="I114" s="47"/>
      <c r="J114" s="47"/>
      <c r="K114" s="48" t="str">
        <f ca="1">IF(B114="","",IF(UPPER(J114)="Y","Vacant",IF(AND(G114&gt;0,G114&gt;=E114+F114),IF(AND(H114&lt;&gt;"",A114&lt;&gt;"",H114&gt;A114+Settings!$C$7),"Paid late","Paid"),IF(G114&gt;0,"Partial",IF(AND(A114&lt;&gt;"",TODAY()&gt;A114+Settings!$C$7),"Unpaid","Due")))))</f>
        <v/>
      </c>
      <c r="L114" s="52" t="str">
        <f t="shared" si="5"/>
        <v/>
      </c>
      <c r="M114" s="47"/>
      <c r="N114" s="48" t="str">
        <f t="shared" si="6"/>
        <v/>
      </c>
      <c r="O114" s="48" t="str">
        <f>IF(B114="","",COUNTIF($B$7:B114,B114))</f>
        <v/>
      </c>
      <c r="P114" s="48" t="str">
        <f t="shared" si="7"/>
        <v/>
      </c>
      <c r="Q114" s="48" t="str">
        <f t="shared" si="8"/>
        <v/>
      </c>
      <c r="R114" s="48" t="str">
        <f t="shared" si="9"/>
        <v/>
      </c>
    </row>
    <row r="115" spans="1:18" ht="16" x14ac:dyDescent="0.2">
      <c r="A115" s="50"/>
      <c r="B115" s="47"/>
      <c r="C115" s="48" t="str">
        <f>IF(B115="","",IFERROR(INDEX(Tenants!$B$6:$B$35,MATCH(B115,Tenants!$A$6:$A$35,0)),"Unit not found"))</f>
        <v/>
      </c>
      <c r="D115" s="48" t="str">
        <f>IF(B115="","",IF(J115="Y","(vacant)",IFERROR(INDEX(Tenants!$C$6:$C$35,MATCH(B115,Tenants!$A$6:$A$35,0)),"")))</f>
        <v/>
      </c>
      <c r="E115" s="56"/>
      <c r="F115" s="56"/>
      <c r="G115" s="56"/>
      <c r="H115" s="50"/>
      <c r="I115" s="47"/>
      <c r="J115" s="47"/>
      <c r="K115" s="48" t="str">
        <f ca="1">IF(B115="","",IF(UPPER(J115)="Y","Vacant",IF(AND(G115&gt;0,G115&gt;=E115+F115),IF(AND(H115&lt;&gt;"",A115&lt;&gt;"",H115&gt;A115+Settings!$C$7),"Paid late","Paid"),IF(G115&gt;0,"Partial",IF(AND(A115&lt;&gt;"",TODAY()&gt;A115+Settings!$C$7),"Unpaid","Due")))))</f>
        <v/>
      </c>
      <c r="L115" s="52" t="str">
        <f t="shared" si="5"/>
        <v/>
      </c>
      <c r="M115" s="47"/>
      <c r="N115" s="48" t="str">
        <f t="shared" si="6"/>
        <v/>
      </c>
      <c r="O115" s="48" t="str">
        <f>IF(B115="","",COUNTIF($B$7:B115,B115))</f>
        <v/>
      </c>
      <c r="P115" s="48" t="str">
        <f t="shared" si="7"/>
        <v/>
      </c>
      <c r="Q115" s="48" t="str">
        <f t="shared" si="8"/>
        <v/>
      </c>
      <c r="R115" s="48" t="str">
        <f t="shared" si="9"/>
        <v/>
      </c>
    </row>
    <row r="116" spans="1:18" ht="16" x14ac:dyDescent="0.2">
      <c r="A116" s="50"/>
      <c r="B116" s="47"/>
      <c r="C116" s="48" t="str">
        <f>IF(B116="","",IFERROR(INDEX(Tenants!$B$6:$B$35,MATCH(B116,Tenants!$A$6:$A$35,0)),"Unit not found"))</f>
        <v/>
      </c>
      <c r="D116" s="48" t="str">
        <f>IF(B116="","",IF(J116="Y","(vacant)",IFERROR(INDEX(Tenants!$C$6:$C$35,MATCH(B116,Tenants!$A$6:$A$35,0)),"")))</f>
        <v/>
      </c>
      <c r="E116" s="56"/>
      <c r="F116" s="56"/>
      <c r="G116" s="56"/>
      <c r="H116" s="50"/>
      <c r="I116" s="47"/>
      <c r="J116" s="47"/>
      <c r="K116" s="48" t="str">
        <f ca="1">IF(B116="","",IF(UPPER(J116)="Y","Vacant",IF(AND(G116&gt;0,G116&gt;=E116+F116),IF(AND(H116&lt;&gt;"",A116&lt;&gt;"",H116&gt;A116+Settings!$C$7),"Paid late","Paid"),IF(G116&gt;0,"Partial",IF(AND(A116&lt;&gt;"",TODAY()&gt;A116+Settings!$C$7),"Unpaid","Due")))))</f>
        <v/>
      </c>
      <c r="L116" s="52" t="str">
        <f t="shared" si="5"/>
        <v/>
      </c>
      <c r="M116" s="47"/>
      <c r="N116" s="48" t="str">
        <f t="shared" si="6"/>
        <v/>
      </c>
      <c r="O116" s="48" t="str">
        <f>IF(B116="","",COUNTIF($B$7:B116,B116))</f>
        <v/>
      </c>
      <c r="P116" s="48" t="str">
        <f t="shared" si="7"/>
        <v/>
      </c>
      <c r="Q116" s="48" t="str">
        <f t="shared" si="8"/>
        <v/>
      </c>
      <c r="R116" s="48" t="str">
        <f t="shared" si="9"/>
        <v/>
      </c>
    </row>
    <row r="117" spans="1:18" ht="16" x14ac:dyDescent="0.2">
      <c r="A117" s="50"/>
      <c r="B117" s="47"/>
      <c r="C117" s="48" t="str">
        <f>IF(B117="","",IFERROR(INDEX(Tenants!$B$6:$B$35,MATCH(B117,Tenants!$A$6:$A$35,0)),"Unit not found"))</f>
        <v/>
      </c>
      <c r="D117" s="48" t="str">
        <f>IF(B117="","",IF(J117="Y","(vacant)",IFERROR(INDEX(Tenants!$C$6:$C$35,MATCH(B117,Tenants!$A$6:$A$35,0)),"")))</f>
        <v/>
      </c>
      <c r="E117" s="56"/>
      <c r="F117" s="56"/>
      <c r="G117" s="56"/>
      <c r="H117" s="50"/>
      <c r="I117" s="47"/>
      <c r="J117" s="47"/>
      <c r="K117" s="48" t="str">
        <f ca="1">IF(B117="","",IF(UPPER(J117)="Y","Vacant",IF(AND(G117&gt;0,G117&gt;=E117+F117),IF(AND(H117&lt;&gt;"",A117&lt;&gt;"",H117&gt;A117+Settings!$C$7),"Paid late","Paid"),IF(G117&gt;0,"Partial",IF(AND(A117&lt;&gt;"",TODAY()&gt;A117+Settings!$C$7),"Unpaid","Due")))))</f>
        <v/>
      </c>
      <c r="L117" s="52" t="str">
        <f t="shared" si="5"/>
        <v/>
      </c>
      <c r="M117" s="47"/>
      <c r="N117" s="48" t="str">
        <f t="shared" si="6"/>
        <v/>
      </c>
      <c r="O117" s="48" t="str">
        <f>IF(B117="","",COUNTIF($B$7:B117,B117))</f>
        <v/>
      </c>
      <c r="P117" s="48" t="str">
        <f t="shared" si="7"/>
        <v/>
      </c>
      <c r="Q117" s="48" t="str">
        <f t="shared" si="8"/>
        <v/>
      </c>
      <c r="R117" s="48" t="str">
        <f t="shared" si="9"/>
        <v/>
      </c>
    </row>
    <row r="118" spans="1:18" ht="16" x14ac:dyDescent="0.2">
      <c r="A118" s="50"/>
      <c r="B118" s="47"/>
      <c r="C118" s="48" t="str">
        <f>IF(B118="","",IFERROR(INDEX(Tenants!$B$6:$B$35,MATCH(B118,Tenants!$A$6:$A$35,0)),"Unit not found"))</f>
        <v/>
      </c>
      <c r="D118" s="48" t="str">
        <f>IF(B118="","",IF(J118="Y","(vacant)",IFERROR(INDEX(Tenants!$C$6:$C$35,MATCH(B118,Tenants!$A$6:$A$35,0)),"")))</f>
        <v/>
      </c>
      <c r="E118" s="56"/>
      <c r="F118" s="56"/>
      <c r="G118" s="56"/>
      <c r="H118" s="50"/>
      <c r="I118" s="47"/>
      <c r="J118" s="47"/>
      <c r="K118" s="48" t="str">
        <f ca="1">IF(B118="","",IF(UPPER(J118)="Y","Vacant",IF(AND(G118&gt;0,G118&gt;=E118+F118),IF(AND(H118&lt;&gt;"",A118&lt;&gt;"",H118&gt;A118+Settings!$C$7),"Paid late","Paid"),IF(G118&gt;0,"Partial",IF(AND(A118&lt;&gt;"",TODAY()&gt;A118+Settings!$C$7),"Unpaid","Due")))))</f>
        <v/>
      </c>
      <c r="L118" s="52" t="str">
        <f t="shared" si="5"/>
        <v/>
      </c>
      <c r="M118" s="47"/>
      <c r="N118" s="48" t="str">
        <f t="shared" si="6"/>
        <v/>
      </c>
      <c r="O118" s="48" t="str">
        <f>IF(B118="","",COUNTIF($B$7:B118,B118))</f>
        <v/>
      </c>
      <c r="P118" s="48" t="str">
        <f t="shared" si="7"/>
        <v/>
      </c>
      <c r="Q118" s="48" t="str">
        <f t="shared" si="8"/>
        <v/>
      </c>
      <c r="R118" s="48" t="str">
        <f t="shared" si="9"/>
        <v/>
      </c>
    </row>
    <row r="119" spans="1:18" ht="16" x14ac:dyDescent="0.2">
      <c r="A119" s="50"/>
      <c r="B119" s="47"/>
      <c r="C119" s="48" t="str">
        <f>IF(B119="","",IFERROR(INDEX(Tenants!$B$6:$B$35,MATCH(B119,Tenants!$A$6:$A$35,0)),"Unit not found"))</f>
        <v/>
      </c>
      <c r="D119" s="48" t="str">
        <f>IF(B119="","",IF(J119="Y","(vacant)",IFERROR(INDEX(Tenants!$C$6:$C$35,MATCH(B119,Tenants!$A$6:$A$35,0)),"")))</f>
        <v/>
      </c>
      <c r="E119" s="56"/>
      <c r="F119" s="56"/>
      <c r="G119" s="56"/>
      <c r="H119" s="50"/>
      <c r="I119" s="47"/>
      <c r="J119" s="47"/>
      <c r="K119" s="48" t="str">
        <f ca="1">IF(B119="","",IF(UPPER(J119)="Y","Vacant",IF(AND(G119&gt;0,G119&gt;=E119+F119),IF(AND(H119&lt;&gt;"",A119&lt;&gt;"",H119&gt;A119+Settings!$C$7),"Paid late","Paid"),IF(G119&gt;0,"Partial",IF(AND(A119&lt;&gt;"",TODAY()&gt;A119+Settings!$C$7),"Unpaid","Due")))))</f>
        <v/>
      </c>
      <c r="L119" s="52" t="str">
        <f t="shared" si="5"/>
        <v/>
      </c>
      <c r="M119" s="47"/>
      <c r="N119" s="48" t="str">
        <f t="shared" si="6"/>
        <v/>
      </c>
      <c r="O119" s="48" t="str">
        <f>IF(B119="","",COUNTIF($B$7:B119,B119))</f>
        <v/>
      </c>
      <c r="P119" s="48" t="str">
        <f t="shared" si="7"/>
        <v/>
      </c>
      <c r="Q119" s="48" t="str">
        <f t="shared" si="8"/>
        <v/>
      </c>
      <c r="R119" s="48" t="str">
        <f t="shared" si="9"/>
        <v/>
      </c>
    </row>
    <row r="120" spans="1:18" ht="16" x14ac:dyDescent="0.2">
      <c r="A120" s="50"/>
      <c r="B120" s="47"/>
      <c r="C120" s="48" t="str">
        <f>IF(B120="","",IFERROR(INDEX(Tenants!$B$6:$B$35,MATCH(B120,Tenants!$A$6:$A$35,0)),"Unit not found"))</f>
        <v/>
      </c>
      <c r="D120" s="48" t="str">
        <f>IF(B120="","",IF(J120="Y","(vacant)",IFERROR(INDEX(Tenants!$C$6:$C$35,MATCH(B120,Tenants!$A$6:$A$35,0)),"")))</f>
        <v/>
      </c>
      <c r="E120" s="56"/>
      <c r="F120" s="56"/>
      <c r="G120" s="56"/>
      <c r="H120" s="50"/>
      <c r="I120" s="47"/>
      <c r="J120" s="47"/>
      <c r="K120" s="48" t="str">
        <f ca="1">IF(B120="","",IF(UPPER(J120)="Y","Vacant",IF(AND(G120&gt;0,G120&gt;=E120+F120),IF(AND(H120&lt;&gt;"",A120&lt;&gt;"",H120&gt;A120+Settings!$C$7),"Paid late","Paid"),IF(G120&gt;0,"Partial",IF(AND(A120&lt;&gt;"",TODAY()&gt;A120+Settings!$C$7),"Unpaid","Due")))))</f>
        <v/>
      </c>
      <c r="L120" s="52" t="str">
        <f t="shared" si="5"/>
        <v/>
      </c>
      <c r="M120" s="47"/>
      <c r="N120" s="48" t="str">
        <f t="shared" si="6"/>
        <v/>
      </c>
      <c r="O120" s="48" t="str">
        <f>IF(B120="","",COUNTIF($B$7:B120,B120))</f>
        <v/>
      </c>
      <c r="P120" s="48" t="str">
        <f t="shared" si="7"/>
        <v/>
      </c>
      <c r="Q120" s="48" t="str">
        <f t="shared" si="8"/>
        <v/>
      </c>
      <c r="R120" s="48" t="str">
        <f t="shared" si="9"/>
        <v/>
      </c>
    </row>
    <row r="121" spans="1:18" ht="16" x14ac:dyDescent="0.2">
      <c r="A121" s="50"/>
      <c r="B121" s="47"/>
      <c r="C121" s="48" t="str">
        <f>IF(B121="","",IFERROR(INDEX(Tenants!$B$6:$B$35,MATCH(B121,Tenants!$A$6:$A$35,0)),"Unit not found"))</f>
        <v/>
      </c>
      <c r="D121" s="48" t="str">
        <f>IF(B121="","",IF(J121="Y","(vacant)",IFERROR(INDEX(Tenants!$C$6:$C$35,MATCH(B121,Tenants!$A$6:$A$35,0)),"")))</f>
        <v/>
      </c>
      <c r="E121" s="56"/>
      <c r="F121" s="56"/>
      <c r="G121" s="56"/>
      <c r="H121" s="50"/>
      <c r="I121" s="47"/>
      <c r="J121" s="47"/>
      <c r="K121" s="48" t="str">
        <f ca="1">IF(B121="","",IF(UPPER(J121)="Y","Vacant",IF(AND(G121&gt;0,G121&gt;=E121+F121),IF(AND(H121&lt;&gt;"",A121&lt;&gt;"",H121&gt;A121+Settings!$C$7),"Paid late","Paid"),IF(G121&gt;0,"Partial",IF(AND(A121&lt;&gt;"",TODAY()&gt;A121+Settings!$C$7),"Unpaid","Due")))))</f>
        <v/>
      </c>
      <c r="L121" s="52" t="str">
        <f t="shared" si="5"/>
        <v/>
      </c>
      <c r="M121" s="47"/>
      <c r="N121" s="48" t="str">
        <f t="shared" si="6"/>
        <v/>
      </c>
      <c r="O121" s="48" t="str">
        <f>IF(B121="","",COUNTIF($B$7:B121,B121))</f>
        <v/>
      </c>
      <c r="P121" s="48" t="str">
        <f t="shared" si="7"/>
        <v/>
      </c>
      <c r="Q121" s="48" t="str">
        <f t="shared" si="8"/>
        <v/>
      </c>
      <c r="R121" s="48" t="str">
        <f t="shared" si="9"/>
        <v/>
      </c>
    </row>
    <row r="122" spans="1:18" ht="16" x14ac:dyDescent="0.2">
      <c r="A122" s="50"/>
      <c r="B122" s="47"/>
      <c r="C122" s="48" t="str">
        <f>IF(B122="","",IFERROR(INDEX(Tenants!$B$6:$B$35,MATCH(B122,Tenants!$A$6:$A$35,0)),"Unit not found"))</f>
        <v/>
      </c>
      <c r="D122" s="48" t="str">
        <f>IF(B122="","",IF(J122="Y","(vacant)",IFERROR(INDEX(Tenants!$C$6:$C$35,MATCH(B122,Tenants!$A$6:$A$35,0)),"")))</f>
        <v/>
      </c>
      <c r="E122" s="56"/>
      <c r="F122" s="56"/>
      <c r="G122" s="56"/>
      <c r="H122" s="50"/>
      <c r="I122" s="47"/>
      <c r="J122" s="47"/>
      <c r="K122" s="48" t="str">
        <f ca="1">IF(B122="","",IF(UPPER(J122)="Y","Vacant",IF(AND(G122&gt;0,G122&gt;=E122+F122),IF(AND(H122&lt;&gt;"",A122&lt;&gt;"",H122&gt;A122+Settings!$C$7),"Paid late","Paid"),IF(G122&gt;0,"Partial",IF(AND(A122&lt;&gt;"",TODAY()&gt;A122+Settings!$C$7),"Unpaid","Due")))))</f>
        <v/>
      </c>
      <c r="L122" s="52" t="str">
        <f t="shared" si="5"/>
        <v/>
      </c>
      <c r="M122" s="47"/>
      <c r="N122" s="48" t="str">
        <f t="shared" si="6"/>
        <v/>
      </c>
      <c r="O122" s="48" t="str">
        <f>IF(B122="","",COUNTIF($B$7:B122,B122))</f>
        <v/>
      </c>
      <c r="P122" s="48" t="str">
        <f t="shared" si="7"/>
        <v/>
      </c>
      <c r="Q122" s="48" t="str">
        <f t="shared" si="8"/>
        <v/>
      </c>
      <c r="R122" s="48" t="str">
        <f t="shared" si="9"/>
        <v/>
      </c>
    </row>
    <row r="123" spans="1:18" ht="16" x14ac:dyDescent="0.2">
      <c r="A123" s="50"/>
      <c r="B123" s="47"/>
      <c r="C123" s="48" t="str">
        <f>IF(B123="","",IFERROR(INDEX(Tenants!$B$6:$B$35,MATCH(B123,Tenants!$A$6:$A$35,0)),"Unit not found"))</f>
        <v/>
      </c>
      <c r="D123" s="48" t="str">
        <f>IF(B123="","",IF(J123="Y","(vacant)",IFERROR(INDEX(Tenants!$C$6:$C$35,MATCH(B123,Tenants!$A$6:$A$35,0)),"")))</f>
        <v/>
      </c>
      <c r="E123" s="56"/>
      <c r="F123" s="56"/>
      <c r="G123" s="56"/>
      <c r="H123" s="50"/>
      <c r="I123" s="47"/>
      <c r="J123" s="47"/>
      <c r="K123" s="48" t="str">
        <f ca="1">IF(B123="","",IF(UPPER(J123)="Y","Vacant",IF(AND(G123&gt;0,G123&gt;=E123+F123),IF(AND(H123&lt;&gt;"",A123&lt;&gt;"",H123&gt;A123+Settings!$C$7),"Paid late","Paid"),IF(G123&gt;0,"Partial",IF(AND(A123&lt;&gt;"",TODAY()&gt;A123+Settings!$C$7),"Unpaid","Due")))))</f>
        <v/>
      </c>
      <c r="L123" s="52" t="str">
        <f t="shared" si="5"/>
        <v/>
      </c>
      <c r="M123" s="47"/>
      <c r="N123" s="48" t="str">
        <f t="shared" si="6"/>
        <v/>
      </c>
      <c r="O123" s="48" t="str">
        <f>IF(B123="","",COUNTIF($B$7:B123,B123))</f>
        <v/>
      </c>
      <c r="P123" s="48" t="str">
        <f t="shared" si="7"/>
        <v/>
      </c>
      <c r="Q123" s="48" t="str">
        <f t="shared" si="8"/>
        <v/>
      </c>
      <c r="R123" s="48" t="str">
        <f t="shared" si="9"/>
        <v/>
      </c>
    </row>
    <row r="124" spans="1:18" ht="16" x14ac:dyDescent="0.2">
      <c r="A124" s="50"/>
      <c r="B124" s="47"/>
      <c r="C124" s="48" t="str">
        <f>IF(B124="","",IFERROR(INDEX(Tenants!$B$6:$B$35,MATCH(B124,Tenants!$A$6:$A$35,0)),"Unit not found"))</f>
        <v/>
      </c>
      <c r="D124" s="48" t="str">
        <f>IF(B124="","",IF(J124="Y","(vacant)",IFERROR(INDEX(Tenants!$C$6:$C$35,MATCH(B124,Tenants!$A$6:$A$35,0)),"")))</f>
        <v/>
      </c>
      <c r="E124" s="56"/>
      <c r="F124" s="56"/>
      <c r="G124" s="56"/>
      <c r="H124" s="50"/>
      <c r="I124" s="47"/>
      <c r="J124" s="47"/>
      <c r="K124" s="48" t="str">
        <f ca="1">IF(B124="","",IF(UPPER(J124)="Y","Vacant",IF(AND(G124&gt;0,G124&gt;=E124+F124),IF(AND(H124&lt;&gt;"",A124&lt;&gt;"",H124&gt;A124+Settings!$C$7),"Paid late","Paid"),IF(G124&gt;0,"Partial",IF(AND(A124&lt;&gt;"",TODAY()&gt;A124+Settings!$C$7),"Unpaid","Due")))))</f>
        <v/>
      </c>
      <c r="L124" s="52" t="str">
        <f t="shared" si="5"/>
        <v/>
      </c>
      <c r="M124" s="47"/>
      <c r="N124" s="48" t="str">
        <f t="shared" si="6"/>
        <v/>
      </c>
      <c r="O124" s="48" t="str">
        <f>IF(B124="","",COUNTIF($B$7:B124,B124))</f>
        <v/>
      </c>
      <c r="P124" s="48" t="str">
        <f t="shared" si="7"/>
        <v/>
      </c>
      <c r="Q124" s="48" t="str">
        <f t="shared" si="8"/>
        <v/>
      </c>
      <c r="R124" s="48" t="str">
        <f t="shared" si="9"/>
        <v/>
      </c>
    </row>
    <row r="125" spans="1:18" ht="16" x14ac:dyDescent="0.2">
      <c r="A125" s="50"/>
      <c r="B125" s="47"/>
      <c r="C125" s="48" t="str">
        <f>IF(B125="","",IFERROR(INDEX(Tenants!$B$6:$B$35,MATCH(B125,Tenants!$A$6:$A$35,0)),"Unit not found"))</f>
        <v/>
      </c>
      <c r="D125" s="48" t="str">
        <f>IF(B125="","",IF(J125="Y","(vacant)",IFERROR(INDEX(Tenants!$C$6:$C$35,MATCH(B125,Tenants!$A$6:$A$35,0)),"")))</f>
        <v/>
      </c>
      <c r="E125" s="56"/>
      <c r="F125" s="56"/>
      <c r="G125" s="56"/>
      <c r="H125" s="50"/>
      <c r="I125" s="47"/>
      <c r="J125" s="47"/>
      <c r="K125" s="48" t="str">
        <f ca="1">IF(B125="","",IF(UPPER(J125)="Y","Vacant",IF(AND(G125&gt;0,G125&gt;=E125+F125),IF(AND(H125&lt;&gt;"",A125&lt;&gt;"",H125&gt;A125+Settings!$C$7),"Paid late","Paid"),IF(G125&gt;0,"Partial",IF(AND(A125&lt;&gt;"",TODAY()&gt;A125+Settings!$C$7),"Unpaid","Due")))))</f>
        <v/>
      </c>
      <c r="L125" s="52" t="str">
        <f t="shared" si="5"/>
        <v/>
      </c>
      <c r="M125" s="47"/>
      <c r="N125" s="48" t="str">
        <f t="shared" si="6"/>
        <v/>
      </c>
      <c r="O125" s="48" t="str">
        <f>IF(B125="","",COUNTIF($B$7:B125,B125))</f>
        <v/>
      </c>
      <c r="P125" s="48" t="str">
        <f t="shared" si="7"/>
        <v/>
      </c>
      <c r="Q125" s="48" t="str">
        <f t="shared" si="8"/>
        <v/>
      </c>
      <c r="R125" s="48" t="str">
        <f t="shared" si="9"/>
        <v/>
      </c>
    </row>
    <row r="126" spans="1:18" ht="16" x14ac:dyDescent="0.2">
      <c r="A126" s="50"/>
      <c r="B126" s="47"/>
      <c r="C126" s="48" t="str">
        <f>IF(B126="","",IFERROR(INDEX(Tenants!$B$6:$B$35,MATCH(B126,Tenants!$A$6:$A$35,0)),"Unit not found"))</f>
        <v/>
      </c>
      <c r="D126" s="48" t="str">
        <f>IF(B126="","",IF(J126="Y","(vacant)",IFERROR(INDEX(Tenants!$C$6:$C$35,MATCH(B126,Tenants!$A$6:$A$35,0)),"")))</f>
        <v/>
      </c>
      <c r="E126" s="56"/>
      <c r="F126" s="56"/>
      <c r="G126" s="56"/>
      <c r="H126" s="50"/>
      <c r="I126" s="47"/>
      <c r="J126" s="47"/>
      <c r="K126" s="48" t="str">
        <f ca="1">IF(B126="","",IF(UPPER(J126)="Y","Vacant",IF(AND(G126&gt;0,G126&gt;=E126+F126),IF(AND(H126&lt;&gt;"",A126&lt;&gt;"",H126&gt;A126+Settings!$C$7),"Paid late","Paid"),IF(G126&gt;0,"Partial",IF(AND(A126&lt;&gt;"",TODAY()&gt;A126+Settings!$C$7),"Unpaid","Due")))))</f>
        <v/>
      </c>
      <c r="L126" s="52" t="str">
        <f t="shared" si="5"/>
        <v/>
      </c>
      <c r="M126" s="47"/>
      <c r="N126" s="48" t="str">
        <f t="shared" si="6"/>
        <v/>
      </c>
      <c r="O126" s="48" t="str">
        <f>IF(B126="","",COUNTIF($B$7:B126,B126))</f>
        <v/>
      </c>
      <c r="P126" s="48" t="str">
        <f t="shared" si="7"/>
        <v/>
      </c>
      <c r="Q126" s="48" t="str">
        <f t="shared" si="8"/>
        <v/>
      </c>
      <c r="R126" s="48" t="str">
        <f t="shared" si="9"/>
        <v/>
      </c>
    </row>
    <row r="127" spans="1:18" ht="16" x14ac:dyDescent="0.2">
      <c r="A127" s="50"/>
      <c r="B127" s="47"/>
      <c r="C127" s="48" t="str">
        <f>IF(B127="","",IFERROR(INDEX(Tenants!$B$6:$B$35,MATCH(B127,Tenants!$A$6:$A$35,0)),"Unit not found"))</f>
        <v/>
      </c>
      <c r="D127" s="48" t="str">
        <f>IF(B127="","",IF(J127="Y","(vacant)",IFERROR(INDEX(Tenants!$C$6:$C$35,MATCH(B127,Tenants!$A$6:$A$35,0)),"")))</f>
        <v/>
      </c>
      <c r="E127" s="56"/>
      <c r="F127" s="56"/>
      <c r="G127" s="56"/>
      <c r="H127" s="50"/>
      <c r="I127" s="47"/>
      <c r="J127" s="47"/>
      <c r="K127" s="48" t="str">
        <f ca="1">IF(B127="","",IF(UPPER(J127)="Y","Vacant",IF(AND(G127&gt;0,G127&gt;=E127+F127),IF(AND(H127&lt;&gt;"",A127&lt;&gt;"",H127&gt;A127+Settings!$C$7),"Paid late","Paid"),IF(G127&gt;0,"Partial",IF(AND(A127&lt;&gt;"",TODAY()&gt;A127+Settings!$C$7),"Unpaid","Due")))))</f>
        <v/>
      </c>
      <c r="L127" s="52" t="str">
        <f t="shared" si="5"/>
        <v/>
      </c>
      <c r="M127" s="47"/>
      <c r="N127" s="48" t="str">
        <f t="shared" si="6"/>
        <v/>
      </c>
      <c r="O127" s="48" t="str">
        <f>IF(B127="","",COUNTIF($B$7:B127,B127))</f>
        <v/>
      </c>
      <c r="P127" s="48" t="str">
        <f t="shared" si="7"/>
        <v/>
      </c>
      <c r="Q127" s="48" t="str">
        <f t="shared" si="8"/>
        <v/>
      </c>
      <c r="R127" s="48" t="str">
        <f t="shared" si="9"/>
        <v/>
      </c>
    </row>
    <row r="128" spans="1:18" ht="16" x14ac:dyDescent="0.2">
      <c r="A128" s="50"/>
      <c r="B128" s="47"/>
      <c r="C128" s="48" t="str">
        <f>IF(B128="","",IFERROR(INDEX(Tenants!$B$6:$B$35,MATCH(B128,Tenants!$A$6:$A$35,0)),"Unit not found"))</f>
        <v/>
      </c>
      <c r="D128" s="48" t="str">
        <f>IF(B128="","",IF(J128="Y","(vacant)",IFERROR(INDEX(Tenants!$C$6:$C$35,MATCH(B128,Tenants!$A$6:$A$35,0)),"")))</f>
        <v/>
      </c>
      <c r="E128" s="56"/>
      <c r="F128" s="56"/>
      <c r="G128" s="56"/>
      <c r="H128" s="50"/>
      <c r="I128" s="47"/>
      <c r="J128" s="47"/>
      <c r="K128" s="48" t="str">
        <f ca="1">IF(B128="","",IF(UPPER(J128)="Y","Vacant",IF(AND(G128&gt;0,G128&gt;=E128+F128),IF(AND(H128&lt;&gt;"",A128&lt;&gt;"",H128&gt;A128+Settings!$C$7),"Paid late","Paid"),IF(G128&gt;0,"Partial",IF(AND(A128&lt;&gt;"",TODAY()&gt;A128+Settings!$C$7),"Unpaid","Due")))))</f>
        <v/>
      </c>
      <c r="L128" s="52" t="str">
        <f t="shared" si="5"/>
        <v/>
      </c>
      <c r="M128" s="47"/>
      <c r="N128" s="48" t="str">
        <f t="shared" si="6"/>
        <v/>
      </c>
      <c r="O128" s="48" t="str">
        <f>IF(B128="","",COUNTIF($B$7:B128,B128))</f>
        <v/>
      </c>
      <c r="P128" s="48" t="str">
        <f t="shared" si="7"/>
        <v/>
      </c>
      <c r="Q128" s="48" t="str">
        <f t="shared" si="8"/>
        <v/>
      </c>
      <c r="R128" s="48" t="str">
        <f t="shared" si="9"/>
        <v/>
      </c>
    </row>
    <row r="129" spans="1:18" ht="16" x14ac:dyDescent="0.2">
      <c r="A129" s="50"/>
      <c r="B129" s="47"/>
      <c r="C129" s="48" t="str">
        <f>IF(B129="","",IFERROR(INDEX(Tenants!$B$6:$B$35,MATCH(B129,Tenants!$A$6:$A$35,0)),"Unit not found"))</f>
        <v/>
      </c>
      <c r="D129" s="48" t="str">
        <f>IF(B129="","",IF(J129="Y","(vacant)",IFERROR(INDEX(Tenants!$C$6:$C$35,MATCH(B129,Tenants!$A$6:$A$35,0)),"")))</f>
        <v/>
      </c>
      <c r="E129" s="56"/>
      <c r="F129" s="56"/>
      <c r="G129" s="56"/>
      <c r="H129" s="50"/>
      <c r="I129" s="47"/>
      <c r="J129" s="47"/>
      <c r="K129" s="48" t="str">
        <f ca="1">IF(B129="","",IF(UPPER(J129)="Y","Vacant",IF(AND(G129&gt;0,G129&gt;=E129+F129),IF(AND(H129&lt;&gt;"",A129&lt;&gt;"",H129&gt;A129+Settings!$C$7),"Paid late","Paid"),IF(G129&gt;0,"Partial",IF(AND(A129&lt;&gt;"",TODAY()&gt;A129+Settings!$C$7),"Unpaid","Due")))))</f>
        <v/>
      </c>
      <c r="L129" s="52" t="str">
        <f t="shared" si="5"/>
        <v/>
      </c>
      <c r="M129" s="47"/>
      <c r="N129" s="48" t="str">
        <f t="shared" si="6"/>
        <v/>
      </c>
      <c r="O129" s="48" t="str">
        <f>IF(B129="","",COUNTIF($B$7:B129,B129))</f>
        <v/>
      </c>
      <c r="P129" s="48" t="str">
        <f t="shared" si="7"/>
        <v/>
      </c>
      <c r="Q129" s="48" t="str">
        <f t="shared" si="8"/>
        <v/>
      </c>
      <c r="R129" s="48" t="str">
        <f t="shared" si="9"/>
        <v/>
      </c>
    </row>
    <row r="130" spans="1:18" ht="16" x14ac:dyDescent="0.2">
      <c r="A130" s="50"/>
      <c r="B130" s="47"/>
      <c r="C130" s="48" t="str">
        <f>IF(B130="","",IFERROR(INDEX(Tenants!$B$6:$B$35,MATCH(B130,Tenants!$A$6:$A$35,0)),"Unit not found"))</f>
        <v/>
      </c>
      <c r="D130" s="48" t="str">
        <f>IF(B130="","",IF(J130="Y","(vacant)",IFERROR(INDEX(Tenants!$C$6:$C$35,MATCH(B130,Tenants!$A$6:$A$35,0)),"")))</f>
        <v/>
      </c>
      <c r="E130" s="56"/>
      <c r="F130" s="56"/>
      <c r="G130" s="56"/>
      <c r="H130" s="50"/>
      <c r="I130" s="47"/>
      <c r="J130" s="47"/>
      <c r="K130" s="48" t="str">
        <f ca="1">IF(B130="","",IF(UPPER(J130)="Y","Vacant",IF(AND(G130&gt;0,G130&gt;=E130+F130),IF(AND(H130&lt;&gt;"",A130&lt;&gt;"",H130&gt;A130+Settings!$C$7),"Paid late","Paid"),IF(G130&gt;0,"Partial",IF(AND(A130&lt;&gt;"",TODAY()&gt;A130+Settings!$C$7),"Unpaid","Due")))))</f>
        <v/>
      </c>
      <c r="L130" s="52" t="str">
        <f t="shared" si="5"/>
        <v/>
      </c>
      <c r="M130" s="47"/>
      <c r="N130" s="48" t="str">
        <f t="shared" si="6"/>
        <v/>
      </c>
      <c r="O130" s="48" t="str">
        <f>IF(B130="","",COUNTIF($B$7:B130,B130))</f>
        <v/>
      </c>
      <c r="P130" s="48" t="str">
        <f t="shared" si="7"/>
        <v/>
      </c>
      <c r="Q130" s="48" t="str">
        <f t="shared" si="8"/>
        <v/>
      </c>
      <c r="R130" s="48" t="str">
        <f t="shared" si="9"/>
        <v/>
      </c>
    </row>
    <row r="131" spans="1:18" ht="16" x14ac:dyDescent="0.2">
      <c r="A131" s="50"/>
      <c r="B131" s="47"/>
      <c r="C131" s="48" t="str">
        <f>IF(B131="","",IFERROR(INDEX(Tenants!$B$6:$B$35,MATCH(B131,Tenants!$A$6:$A$35,0)),"Unit not found"))</f>
        <v/>
      </c>
      <c r="D131" s="48" t="str">
        <f>IF(B131="","",IF(J131="Y","(vacant)",IFERROR(INDEX(Tenants!$C$6:$C$35,MATCH(B131,Tenants!$A$6:$A$35,0)),"")))</f>
        <v/>
      </c>
      <c r="E131" s="56"/>
      <c r="F131" s="56"/>
      <c r="G131" s="56"/>
      <c r="H131" s="50"/>
      <c r="I131" s="47"/>
      <c r="J131" s="47"/>
      <c r="K131" s="48" t="str">
        <f ca="1">IF(B131="","",IF(UPPER(J131)="Y","Vacant",IF(AND(G131&gt;0,G131&gt;=E131+F131),IF(AND(H131&lt;&gt;"",A131&lt;&gt;"",H131&gt;A131+Settings!$C$7),"Paid late","Paid"),IF(G131&gt;0,"Partial",IF(AND(A131&lt;&gt;"",TODAY()&gt;A131+Settings!$C$7),"Unpaid","Due")))))</f>
        <v/>
      </c>
      <c r="L131" s="52" t="str">
        <f t="shared" si="5"/>
        <v/>
      </c>
      <c r="M131" s="47"/>
      <c r="N131" s="48" t="str">
        <f t="shared" si="6"/>
        <v/>
      </c>
      <c r="O131" s="48" t="str">
        <f>IF(B131="","",COUNTIF($B$7:B131,B131))</f>
        <v/>
      </c>
      <c r="P131" s="48" t="str">
        <f t="shared" si="7"/>
        <v/>
      </c>
      <c r="Q131" s="48" t="str">
        <f t="shared" si="8"/>
        <v/>
      </c>
      <c r="R131" s="48" t="str">
        <f t="shared" si="9"/>
        <v/>
      </c>
    </row>
    <row r="132" spans="1:18" ht="16" x14ac:dyDescent="0.2">
      <c r="A132" s="50"/>
      <c r="B132" s="47"/>
      <c r="C132" s="48" t="str">
        <f>IF(B132="","",IFERROR(INDEX(Tenants!$B$6:$B$35,MATCH(B132,Tenants!$A$6:$A$35,0)),"Unit not found"))</f>
        <v/>
      </c>
      <c r="D132" s="48" t="str">
        <f>IF(B132="","",IF(J132="Y","(vacant)",IFERROR(INDEX(Tenants!$C$6:$C$35,MATCH(B132,Tenants!$A$6:$A$35,0)),"")))</f>
        <v/>
      </c>
      <c r="E132" s="56"/>
      <c r="F132" s="56"/>
      <c r="G132" s="56"/>
      <c r="H132" s="50"/>
      <c r="I132" s="47"/>
      <c r="J132" s="47"/>
      <c r="K132" s="48" t="str">
        <f ca="1">IF(B132="","",IF(UPPER(J132)="Y","Vacant",IF(AND(G132&gt;0,G132&gt;=E132+F132),IF(AND(H132&lt;&gt;"",A132&lt;&gt;"",H132&gt;A132+Settings!$C$7),"Paid late","Paid"),IF(G132&gt;0,"Partial",IF(AND(A132&lt;&gt;"",TODAY()&gt;A132+Settings!$C$7),"Unpaid","Due")))))</f>
        <v/>
      </c>
      <c r="L132" s="52" t="str">
        <f t="shared" si="5"/>
        <v/>
      </c>
      <c r="M132" s="47"/>
      <c r="N132" s="48" t="str">
        <f t="shared" si="6"/>
        <v/>
      </c>
      <c r="O132" s="48" t="str">
        <f>IF(B132="","",COUNTIF($B$7:B132,B132))</f>
        <v/>
      </c>
      <c r="P132" s="48" t="str">
        <f t="shared" si="7"/>
        <v/>
      </c>
      <c r="Q132" s="48" t="str">
        <f t="shared" si="8"/>
        <v/>
      </c>
      <c r="R132" s="48" t="str">
        <f t="shared" si="9"/>
        <v/>
      </c>
    </row>
    <row r="133" spans="1:18" ht="16" x14ac:dyDescent="0.2">
      <c r="A133" s="50"/>
      <c r="B133" s="47"/>
      <c r="C133" s="48" t="str">
        <f>IF(B133="","",IFERROR(INDEX(Tenants!$B$6:$B$35,MATCH(B133,Tenants!$A$6:$A$35,0)),"Unit not found"))</f>
        <v/>
      </c>
      <c r="D133" s="48" t="str">
        <f>IF(B133="","",IF(J133="Y","(vacant)",IFERROR(INDEX(Tenants!$C$6:$C$35,MATCH(B133,Tenants!$A$6:$A$35,0)),"")))</f>
        <v/>
      </c>
      <c r="E133" s="56"/>
      <c r="F133" s="56"/>
      <c r="G133" s="56"/>
      <c r="H133" s="50"/>
      <c r="I133" s="47"/>
      <c r="J133" s="47"/>
      <c r="K133" s="48" t="str">
        <f ca="1">IF(B133="","",IF(UPPER(J133)="Y","Vacant",IF(AND(G133&gt;0,G133&gt;=E133+F133),IF(AND(H133&lt;&gt;"",A133&lt;&gt;"",H133&gt;A133+Settings!$C$7),"Paid late","Paid"),IF(G133&gt;0,"Partial",IF(AND(A133&lt;&gt;"",TODAY()&gt;A133+Settings!$C$7),"Unpaid","Due")))))</f>
        <v/>
      </c>
      <c r="L133" s="52" t="str">
        <f t="shared" si="5"/>
        <v/>
      </c>
      <c r="M133" s="47"/>
      <c r="N133" s="48" t="str">
        <f t="shared" si="6"/>
        <v/>
      </c>
      <c r="O133" s="48" t="str">
        <f>IF(B133="","",COUNTIF($B$7:B133,B133))</f>
        <v/>
      </c>
      <c r="P133" s="48" t="str">
        <f t="shared" si="7"/>
        <v/>
      </c>
      <c r="Q133" s="48" t="str">
        <f t="shared" si="8"/>
        <v/>
      </c>
      <c r="R133" s="48" t="str">
        <f t="shared" si="9"/>
        <v/>
      </c>
    </row>
    <row r="134" spans="1:18" ht="16" x14ac:dyDescent="0.2">
      <c r="A134" s="50"/>
      <c r="B134" s="47"/>
      <c r="C134" s="48" t="str">
        <f>IF(B134="","",IFERROR(INDEX(Tenants!$B$6:$B$35,MATCH(B134,Tenants!$A$6:$A$35,0)),"Unit not found"))</f>
        <v/>
      </c>
      <c r="D134" s="48" t="str">
        <f>IF(B134="","",IF(J134="Y","(vacant)",IFERROR(INDEX(Tenants!$C$6:$C$35,MATCH(B134,Tenants!$A$6:$A$35,0)),"")))</f>
        <v/>
      </c>
      <c r="E134" s="56"/>
      <c r="F134" s="56"/>
      <c r="G134" s="56"/>
      <c r="H134" s="50"/>
      <c r="I134" s="47"/>
      <c r="J134" s="47"/>
      <c r="K134" s="48" t="str">
        <f ca="1">IF(B134="","",IF(UPPER(J134)="Y","Vacant",IF(AND(G134&gt;0,G134&gt;=E134+F134),IF(AND(H134&lt;&gt;"",A134&lt;&gt;"",H134&gt;A134+Settings!$C$7),"Paid late","Paid"),IF(G134&gt;0,"Partial",IF(AND(A134&lt;&gt;"",TODAY()&gt;A134+Settings!$C$7),"Unpaid","Due")))))</f>
        <v/>
      </c>
      <c r="L134" s="52" t="str">
        <f t="shared" si="5"/>
        <v/>
      </c>
      <c r="M134" s="47"/>
      <c r="N134" s="48" t="str">
        <f t="shared" si="6"/>
        <v/>
      </c>
      <c r="O134" s="48" t="str">
        <f>IF(B134="","",COUNTIF($B$7:B134,B134))</f>
        <v/>
      </c>
      <c r="P134" s="48" t="str">
        <f t="shared" si="7"/>
        <v/>
      </c>
      <c r="Q134" s="48" t="str">
        <f t="shared" si="8"/>
        <v/>
      </c>
      <c r="R134" s="48" t="str">
        <f t="shared" si="9"/>
        <v/>
      </c>
    </row>
    <row r="135" spans="1:18" ht="16" x14ac:dyDescent="0.2">
      <c r="A135" s="50"/>
      <c r="B135" s="47"/>
      <c r="C135" s="48" t="str">
        <f>IF(B135="","",IFERROR(INDEX(Tenants!$B$6:$B$35,MATCH(B135,Tenants!$A$6:$A$35,0)),"Unit not found"))</f>
        <v/>
      </c>
      <c r="D135" s="48" t="str">
        <f>IF(B135="","",IF(J135="Y","(vacant)",IFERROR(INDEX(Tenants!$C$6:$C$35,MATCH(B135,Tenants!$A$6:$A$35,0)),"")))</f>
        <v/>
      </c>
      <c r="E135" s="56"/>
      <c r="F135" s="56"/>
      <c r="G135" s="56"/>
      <c r="H135" s="50"/>
      <c r="I135" s="47"/>
      <c r="J135" s="47"/>
      <c r="K135" s="48" t="str">
        <f ca="1">IF(B135="","",IF(UPPER(J135)="Y","Vacant",IF(AND(G135&gt;0,G135&gt;=E135+F135),IF(AND(H135&lt;&gt;"",A135&lt;&gt;"",H135&gt;A135+Settings!$C$7),"Paid late","Paid"),IF(G135&gt;0,"Partial",IF(AND(A135&lt;&gt;"",TODAY()&gt;A135+Settings!$C$7),"Unpaid","Due")))))</f>
        <v/>
      </c>
      <c r="L135" s="52" t="str">
        <f t="shared" ref="L135:L198" si="10">IF(OR(B135="",UPPER(J135)="Y"),"",E135+F135-G135)</f>
        <v/>
      </c>
      <c r="M135" s="47"/>
      <c r="N135" s="48" t="str">
        <f t="shared" ref="N135:N198" si="11">IF(OR(B135="",G135=0,G135=""),"",YEAR(IF(H135="",A135,H135)))</f>
        <v/>
      </c>
      <c r="O135" s="48" t="str">
        <f>IF(B135="","",COUNTIF($B$7:B135,B135))</f>
        <v/>
      </c>
      <c r="P135" s="48" t="str">
        <f t="shared" ref="P135:P198" si="12">IF(B135="","",B135&amp;"|"&amp;O135)</f>
        <v/>
      </c>
      <c r="Q135" s="48" t="str">
        <f t="shared" ref="Q135:Q198" si="13">IF(OR(B135="",G135=0,G135=""),"",YEAR(IF(H135="",A135,H135))*100+MONTH(IF(H135="",A135,H135)))</f>
        <v/>
      </c>
      <c r="R135" s="48" t="str">
        <f t="shared" ref="R135:R198" si="14">IF(OR(B135="",A135=""),"",YEAR(A135))</f>
        <v/>
      </c>
    </row>
    <row r="136" spans="1:18" ht="16" x14ac:dyDescent="0.2">
      <c r="A136" s="50"/>
      <c r="B136" s="47"/>
      <c r="C136" s="48" t="str">
        <f>IF(B136="","",IFERROR(INDEX(Tenants!$B$6:$B$35,MATCH(B136,Tenants!$A$6:$A$35,0)),"Unit not found"))</f>
        <v/>
      </c>
      <c r="D136" s="48" t="str">
        <f>IF(B136="","",IF(J136="Y","(vacant)",IFERROR(INDEX(Tenants!$C$6:$C$35,MATCH(B136,Tenants!$A$6:$A$35,0)),"")))</f>
        <v/>
      </c>
      <c r="E136" s="56"/>
      <c r="F136" s="56"/>
      <c r="G136" s="56"/>
      <c r="H136" s="50"/>
      <c r="I136" s="47"/>
      <c r="J136" s="47"/>
      <c r="K136" s="48" t="str">
        <f ca="1">IF(B136="","",IF(UPPER(J136)="Y","Vacant",IF(AND(G136&gt;0,G136&gt;=E136+F136),IF(AND(H136&lt;&gt;"",A136&lt;&gt;"",H136&gt;A136+Settings!$C$7),"Paid late","Paid"),IF(G136&gt;0,"Partial",IF(AND(A136&lt;&gt;"",TODAY()&gt;A136+Settings!$C$7),"Unpaid","Due")))))</f>
        <v/>
      </c>
      <c r="L136" s="52" t="str">
        <f t="shared" si="10"/>
        <v/>
      </c>
      <c r="M136" s="47"/>
      <c r="N136" s="48" t="str">
        <f t="shared" si="11"/>
        <v/>
      </c>
      <c r="O136" s="48" t="str">
        <f>IF(B136="","",COUNTIF($B$7:B136,B136))</f>
        <v/>
      </c>
      <c r="P136" s="48" t="str">
        <f t="shared" si="12"/>
        <v/>
      </c>
      <c r="Q136" s="48" t="str">
        <f t="shared" si="13"/>
        <v/>
      </c>
      <c r="R136" s="48" t="str">
        <f t="shared" si="14"/>
        <v/>
      </c>
    </row>
    <row r="137" spans="1:18" ht="16" x14ac:dyDescent="0.2">
      <c r="A137" s="50"/>
      <c r="B137" s="47"/>
      <c r="C137" s="48" t="str">
        <f>IF(B137="","",IFERROR(INDEX(Tenants!$B$6:$B$35,MATCH(B137,Tenants!$A$6:$A$35,0)),"Unit not found"))</f>
        <v/>
      </c>
      <c r="D137" s="48" t="str">
        <f>IF(B137="","",IF(J137="Y","(vacant)",IFERROR(INDEX(Tenants!$C$6:$C$35,MATCH(B137,Tenants!$A$6:$A$35,0)),"")))</f>
        <v/>
      </c>
      <c r="E137" s="56"/>
      <c r="F137" s="56"/>
      <c r="G137" s="56"/>
      <c r="H137" s="50"/>
      <c r="I137" s="47"/>
      <c r="J137" s="47"/>
      <c r="K137" s="48" t="str">
        <f ca="1">IF(B137="","",IF(UPPER(J137)="Y","Vacant",IF(AND(G137&gt;0,G137&gt;=E137+F137),IF(AND(H137&lt;&gt;"",A137&lt;&gt;"",H137&gt;A137+Settings!$C$7),"Paid late","Paid"),IF(G137&gt;0,"Partial",IF(AND(A137&lt;&gt;"",TODAY()&gt;A137+Settings!$C$7),"Unpaid","Due")))))</f>
        <v/>
      </c>
      <c r="L137" s="52" t="str">
        <f t="shared" si="10"/>
        <v/>
      </c>
      <c r="M137" s="47"/>
      <c r="N137" s="48" t="str">
        <f t="shared" si="11"/>
        <v/>
      </c>
      <c r="O137" s="48" t="str">
        <f>IF(B137="","",COUNTIF($B$7:B137,B137))</f>
        <v/>
      </c>
      <c r="P137" s="48" t="str">
        <f t="shared" si="12"/>
        <v/>
      </c>
      <c r="Q137" s="48" t="str">
        <f t="shared" si="13"/>
        <v/>
      </c>
      <c r="R137" s="48" t="str">
        <f t="shared" si="14"/>
        <v/>
      </c>
    </row>
    <row r="138" spans="1:18" ht="16" x14ac:dyDescent="0.2">
      <c r="A138" s="50"/>
      <c r="B138" s="47"/>
      <c r="C138" s="48" t="str">
        <f>IF(B138="","",IFERROR(INDEX(Tenants!$B$6:$B$35,MATCH(B138,Tenants!$A$6:$A$35,0)),"Unit not found"))</f>
        <v/>
      </c>
      <c r="D138" s="48" t="str">
        <f>IF(B138="","",IF(J138="Y","(vacant)",IFERROR(INDEX(Tenants!$C$6:$C$35,MATCH(B138,Tenants!$A$6:$A$35,0)),"")))</f>
        <v/>
      </c>
      <c r="E138" s="56"/>
      <c r="F138" s="56"/>
      <c r="G138" s="56"/>
      <c r="H138" s="50"/>
      <c r="I138" s="47"/>
      <c r="J138" s="47"/>
      <c r="K138" s="48" t="str">
        <f ca="1">IF(B138="","",IF(UPPER(J138)="Y","Vacant",IF(AND(G138&gt;0,G138&gt;=E138+F138),IF(AND(H138&lt;&gt;"",A138&lt;&gt;"",H138&gt;A138+Settings!$C$7),"Paid late","Paid"),IF(G138&gt;0,"Partial",IF(AND(A138&lt;&gt;"",TODAY()&gt;A138+Settings!$C$7),"Unpaid","Due")))))</f>
        <v/>
      </c>
      <c r="L138" s="52" t="str">
        <f t="shared" si="10"/>
        <v/>
      </c>
      <c r="M138" s="47"/>
      <c r="N138" s="48" t="str">
        <f t="shared" si="11"/>
        <v/>
      </c>
      <c r="O138" s="48" t="str">
        <f>IF(B138="","",COUNTIF($B$7:B138,B138))</f>
        <v/>
      </c>
      <c r="P138" s="48" t="str">
        <f t="shared" si="12"/>
        <v/>
      </c>
      <c r="Q138" s="48" t="str">
        <f t="shared" si="13"/>
        <v/>
      </c>
      <c r="R138" s="48" t="str">
        <f t="shared" si="14"/>
        <v/>
      </c>
    </row>
    <row r="139" spans="1:18" ht="16" x14ac:dyDescent="0.2">
      <c r="A139" s="50"/>
      <c r="B139" s="47"/>
      <c r="C139" s="48" t="str">
        <f>IF(B139="","",IFERROR(INDEX(Tenants!$B$6:$B$35,MATCH(B139,Tenants!$A$6:$A$35,0)),"Unit not found"))</f>
        <v/>
      </c>
      <c r="D139" s="48" t="str">
        <f>IF(B139="","",IF(J139="Y","(vacant)",IFERROR(INDEX(Tenants!$C$6:$C$35,MATCH(B139,Tenants!$A$6:$A$35,0)),"")))</f>
        <v/>
      </c>
      <c r="E139" s="56"/>
      <c r="F139" s="56"/>
      <c r="G139" s="56"/>
      <c r="H139" s="50"/>
      <c r="I139" s="47"/>
      <c r="J139" s="47"/>
      <c r="K139" s="48" t="str">
        <f ca="1">IF(B139="","",IF(UPPER(J139)="Y","Vacant",IF(AND(G139&gt;0,G139&gt;=E139+F139),IF(AND(H139&lt;&gt;"",A139&lt;&gt;"",H139&gt;A139+Settings!$C$7),"Paid late","Paid"),IF(G139&gt;0,"Partial",IF(AND(A139&lt;&gt;"",TODAY()&gt;A139+Settings!$C$7),"Unpaid","Due")))))</f>
        <v/>
      </c>
      <c r="L139" s="52" t="str">
        <f t="shared" si="10"/>
        <v/>
      </c>
      <c r="M139" s="47"/>
      <c r="N139" s="48" t="str">
        <f t="shared" si="11"/>
        <v/>
      </c>
      <c r="O139" s="48" t="str">
        <f>IF(B139="","",COUNTIF($B$7:B139,B139))</f>
        <v/>
      </c>
      <c r="P139" s="48" t="str">
        <f t="shared" si="12"/>
        <v/>
      </c>
      <c r="Q139" s="48" t="str">
        <f t="shared" si="13"/>
        <v/>
      </c>
      <c r="R139" s="48" t="str">
        <f t="shared" si="14"/>
        <v/>
      </c>
    </row>
    <row r="140" spans="1:18" ht="16" x14ac:dyDescent="0.2">
      <c r="A140" s="50"/>
      <c r="B140" s="47"/>
      <c r="C140" s="48" t="str">
        <f>IF(B140="","",IFERROR(INDEX(Tenants!$B$6:$B$35,MATCH(B140,Tenants!$A$6:$A$35,0)),"Unit not found"))</f>
        <v/>
      </c>
      <c r="D140" s="48" t="str">
        <f>IF(B140="","",IF(J140="Y","(vacant)",IFERROR(INDEX(Tenants!$C$6:$C$35,MATCH(B140,Tenants!$A$6:$A$35,0)),"")))</f>
        <v/>
      </c>
      <c r="E140" s="56"/>
      <c r="F140" s="56"/>
      <c r="G140" s="56"/>
      <c r="H140" s="50"/>
      <c r="I140" s="47"/>
      <c r="J140" s="47"/>
      <c r="K140" s="48" t="str">
        <f ca="1">IF(B140="","",IF(UPPER(J140)="Y","Vacant",IF(AND(G140&gt;0,G140&gt;=E140+F140),IF(AND(H140&lt;&gt;"",A140&lt;&gt;"",H140&gt;A140+Settings!$C$7),"Paid late","Paid"),IF(G140&gt;0,"Partial",IF(AND(A140&lt;&gt;"",TODAY()&gt;A140+Settings!$C$7),"Unpaid","Due")))))</f>
        <v/>
      </c>
      <c r="L140" s="52" t="str">
        <f t="shared" si="10"/>
        <v/>
      </c>
      <c r="M140" s="47"/>
      <c r="N140" s="48" t="str">
        <f t="shared" si="11"/>
        <v/>
      </c>
      <c r="O140" s="48" t="str">
        <f>IF(B140="","",COUNTIF($B$7:B140,B140))</f>
        <v/>
      </c>
      <c r="P140" s="48" t="str">
        <f t="shared" si="12"/>
        <v/>
      </c>
      <c r="Q140" s="48" t="str">
        <f t="shared" si="13"/>
        <v/>
      </c>
      <c r="R140" s="48" t="str">
        <f t="shared" si="14"/>
        <v/>
      </c>
    </row>
    <row r="141" spans="1:18" ht="16" x14ac:dyDescent="0.2">
      <c r="A141" s="50"/>
      <c r="B141" s="47"/>
      <c r="C141" s="48" t="str">
        <f>IF(B141="","",IFERROR(INDEX(Tenants!$B$6:$B$35,MATCH(B141,Tenants!$A$6:$A$35,0)),"Unit not found"))</f>
        <v/>
      </c>
      <c r="D141" s="48" t="str">
        <f>IF(B141="","",IF(J141="Y","(vacant)",IFERROR(INDEX(Tenants!$C$6:$C$35,MATCH(B141,Tenants!$A$6:$A$35,0)),"")))</f>
        <v/>
      </c>
      <c r="E141" s="56"/>
      <c r="F141" s="56"/>
      <c r="G141" s="56"/>
      <c r="H141" s="50"/>
      <c r="I141" s="47"/>
      <c r="J141" s="47"/>
      <c r="K141" s="48" t="str">
        <f ca="1">IF(B141="","",IF(UPPER(J141)="Y","Vacant",IF(AND(G141&gt;0,G141&gt;=E141+F141),IF(AND(H141&lt;&gt;"",A141&lt;&gt;"",H141&gt;A141+Settings!$C$7),"Paid late","Paid"),IF(G141&gt;0,"Partial",IF(AND(A141&lt;&gt;"",TODAY()&gt;A141+Settings!$C$7),"Unpaid","Due")))))</f>
        <v/>
      </c>
      <c r="L141" s="52" t="str">
        <f t="shared" si="10"/>
        <v/>
      </c>
      <c r="M141" s="47"/>
      <c r="N141" s="48" t="str">
        <f t="shared" si="11"/>
        <v/>
      </c>
      <c r="O141" s="48" t="str">
        <f>IF(B141="","",COUNTIF($B$7:B141,B141))</f>
        <v/>
      </c>
      <c r="P141" s="48" t="str">
        <f t="shared" si="12"/>
        <v/>
      </c>
      <c r="Q141" s="48" t="str">
        <f t="shared" si="13"/>
        <v/>
      </c>
      <c r="R141" s="48" t="str">
        <f t="shared" si="14"/>
        <v/>
      </c>
    </row>
    <row r="142" spans="1:18" ht="16" x14ac:dyDescent="0.2">
      <c r="A142" s="50"/>
      <c r="B142" s="47"/>
      <c r="C142" s="48" t="str">
        <f>IF(B142="","",IFERROR(INDEX(Tenants!$B$6:$B$35,MATCH(B142,Tenants!$A$6:$A$35,0)),"Unit not found"))</f>
        <v/>
      </c>
      <c r="D142" s="48" t="str">
        <f>IF(B142="","",IF(J142="Y","(vacant)",IFERROR(INDEX(Tenants!$C$6:$C$35,MATCH(B142,Tenants!$A$6:$A$35,0)),"")))</f>
        <v/>
      </c>
      <c r="E142" s="56"/>
      <c r="F142" s="56"/>
      <c r="G142" s="56"/>
      <c r="H142" s="50"/>
      <c r="I142" s="47"/>
      <c r="J142" s="47"/>
      <c r="K142" s="48" t="str">
        <f ca="1">IF(B142="","",IF(UPPER(J142)="Y","Vacant",IF(AND(G142&gt;0,G142&gt;=E142+F142),IF(AND(H142&lt;&gt;"",A142&lt;&gt;"",H142&gt;A142+Settings!$C$7),"Paid late","Paid"),IF(G142&gt;0,"Partial",IF(AND(A142&lt;&gt;"",TODAY()&gt;A142+Settings!$C$7),"Unpaid","Due")))))</f>
        <v/>
      </c>
      <c r="L142" s="52" t="str">
        <f t="shared" si="10"/>
        <v/>
      </c>
      <c r="M142" s="47"/>
      <c r="N142" s="48" t="str">
        <f t="shared" si="11"/>
        <v/>
      </c>
      <c r="O142" s="48" t="str">
        <f>IF(B142="","",COUNTIF($B$7:B142,B142))</f>
        <v/>
      </c>
      <c r="P142" s="48" t="str">
        <f t="shared" si="12"/>
        <v/>
      </c>
      <c r="Q142" s="48" t="str">
        <f t="shared" si="13"/>
        <v/>
      </c>
      <c r="R142" s="48" t="str">
        <f t="shared" si="14"/>
        <v/>
      </c>
    </row>
    <row r="143" spans="1:18" ht="16" x14ac:dyDescent="0.2">
      <c r="A143" s="50"/>
      <c r="B143" s="47"/>
      <c r="C143" s="48" t="str">
        <f>IF(B143="","",IFERROR(INDEX(Tenants!$B$6:$B$35,MATCH(B143,Tenants!$A$6:$A$35,0)),"Unit not found"))</f>
        <v/>
      </c>
      <c r="D143" s="48" t="str">
        <f>IF(B143="","",IF(J143="Y","(vacant)",IFERROR(INDEX(Tenants!$C$6:$C$35,MATCH(B143,Tenants!$A$6:$A$35,0)),"")))</f>
        <v/>
      </c>
      <c r="E143" s="56"/>
      <c r="F143" s="56"/>
      <c r="G143" s="56"/>
      <c r="H143" s="50"/>
      <c r="I143" s="47"/>
      <c r="J143" s="47"/>
      <c r="K143" s="48" t="str">
        <f ca="1">IF(B143="","",IF(UPPER(J143)="Y","Vacant",IF(AND(G143&gt;0,G143&gt;=E143+F143),IF(AND(H143&lt;&gt;"",A143&lt;&gt;"",H143&gt;A143+Settings!$C$7),"Paid late","Paid"),IF(G143&gt;0,"Partial",IF(AND(A143&lt;&gt;"",TODAY()&gt;A143+Settings!$C$7),"Unpaid","Due")))))</f>
        <v/>
      </c>
      <c r="L143" s="52" t="str">
        <f t="shared" si="10"/>
        <v/>
      </c>
      <c r="M143" s="47"/>
      <c r="N143" s="48" t="str">
        <f t="shared" si="11"/>
        <v/>
      </c>
      <c r="O143" s="48" t="str">
        <f>IF(B143="","",COUNTIF($B$7:B143,B143))</f>
        <v/>
      </c>
      <c r="P143" s="48" t="str">
        <f t="shared" si="12"/>
        <v/>
      </c>
      <c r="Q143" s="48" t="str">
        <f t="shared" si="13"/>
        <v/>
      </c>
      <c r="R143" s="48" t="str">
        <f t="shared" si="14"/>
        <v/>
      </c>
    </row>
    <row r="144" spans="1:18" ht="16" x14ac:dyDescent="0.2">
      <c r="A144" s="50"/>
      <c r="B144" s="47"/>
      <c r="C144" s="48" t="str">
        <f>IF(B144="","",IFERROR(INDEX(Tenants!$B$6:$B$35,MATCH(B144,Tenants!$A$6:$A$35,0)),"Unit not found"))</f>
        <v/>
      </c>
      <c r="D144" s="48" t="str">
        <f>IF(B144="","",IF(J144="Y","(vacant)",IFERROR(INDEX(Tenants!$C$6:$C$35,MATCH(B144,Tenants!$A$6:$A$35,0)),"")))</f>
        <v/>
      </c>
      <c r="E144" s="56"/>
      <c r="F144" s="56"/>
      <c r="G144" s="56"/>
      <c r="H144" s="50"/>
      <c r="I144" s="47"/>
      <c r="J144" s="47"/>
      <c r="K144" s="48" t="str">
        <f ca="1">IF(B144="","",IF(UPPER(J144)="Y","Vacant",IF(AND(G144&gt;0,G144&gt;=E144+F144),IF(AND(H144&lt;&gt;"",A144&lt;&gt;"",H144&gt;A144+Settings!$C$7),"Paid late","Paid"),IF(G144&gt;0,"Partial",IF(AND(A144&lt;&gt;"",TODAY()&gt;A144+Settings!$C$7),"Unpaid","Due")))))</f>
        <v/>
      </c>
      <c r="L144" s="52" t="str">
        <f t="shared" si="10"/>
        <v/>
      </c>
      <c r="M144" s="47"/>
      <c r="N144" s="48" t="str">
        <f t="shared" si="11"/>
        <v/>
      </c>
      <c r="O144" s="48" t="str">
        <f>IF(B144="","",COUNTIF($B$7:B144,B144))</f>
        <v/>
      </c>
      <c r="P144" s="48" t="str">
        <f t="shared" si="12"/>
        <v/>
      </c>
      <c r="Q144" s="48" t="str">
        <f t="shared" si="13"/>
        <v/>
      </c>
      <c r="R144" s="48" t="str">
        <f t="shared" si="14"/>
        <v/>
      </c>
    </row>
    <row r="145" spans="1:18" ht="16" x14ac:dyDescent="0.2">
      <c r="A145" s="50"/>
      <c r="B145" s="47"/>
      <c r="C145" s="48" t="str">
        <f>IF(B145="","",IFERROR(INDEX(Tenants!$B$6:$B$35,MATCH(B145,Tenants!$A$6:$A$35,0)),"Unit not found"))</f>
        <v/>
      </c>
      <c r="D145" s="48" t="str">
        <f>IF(B145="","",IF(J145="Y","(vacant)",IFERROR(INDEX(Tenants!$C$6:$C$35,MATCH(B145,Tenants!$A$6:$A$35,0)),"")))</f>
        <v/>
      </c>
      <c r="E145" s="56"/>
      <c r="F145" s="56"/>
      <c r="G145" s="56"/>
      <c r="H145" s="50"/>
      <c r="I145" s="47"/>
      <c r="J145" s="47"/>
      <c r="K145" s="48" t="str">
        <f ca="1">IF(B145="","",IF(UPPER(J145)="Y","Vacant",IF(AND(G145&gt;0,G145&gt;=E145+F145),IF(AND(H145&lt;&gt;"",A145&lt;&gt;"",H145&gt;A145+Settings!$C$7),"Paid late","Paid"),IF(G145&gt;0,"Partial",IF(AND(A145&lt;&gt;"",TODAY()&gt;A145+Settings!$C$7),"Unpaid","Due")))))</f>
        <v/>
      </c>
      <c r="L145" s="52" t="str">
        <f t="shared" si="10"/>
        <v/>
      </c>
      <c r="M145" s="47"/>
      <c r="N145" s="48" t="str">
        <f t="shared" si="11"/>
        <v/>
      </c>
      <c r="O145" s="48" t="str">
        <f>IF(B145="","",COUNTIF($B$7:B145,B145))</f>
        <v/>
      </c>
      <c r="P145" s="48" t="str">
        <f t="shared" si="12"/>
        <v/>
      </c>
      <c r="Q145" s="48" t="str">
        <f t="shared" si="13"/>
        <v/>
      </c>
      <c r="R145" s="48" t="str">
        <f t="shared" si="14"/>
        <v/>
      </c>
    </row>
    <row r="146" spans="1:18" ht="16" x14ac:dyDescent="0.2">
      <c r="A146" s="50"/>
      <c r="B146" s="47"/>
      <c r="C146" s="48" t="str">
        <f>IF(B146="","",IFERROR(INDEX(Tenants!$B$6:$B$35,MATCH(B146,Tenants!$A$6:$A$35,0)),"Unit not found"))</f>
        <v/>
      </c>
      <c r="D146" s="48" t="str">
        <f>IF(B146="","",IF(J146="Y","(vacant)",IFERROR(INDEX(Tenants!$C$6:$C$35,MATCH(B146,Tenants!$A$6:$A$35,0)),"")))</f>
        <v/>
      </c>
      <c r="E146" s="56"/>
      <c r="F146" s="56"/>
      <c r="G146" s="56"/>
      <c r="H146" s="50"/>
      <c r="I146" s="47"/>
      <c r="J146" s="47"/>
      <c r="K146" s="48" t="str">
        <f ca="1">IF(B146="","",IF(UPPER(J146)="Y","Vacant",IF(AND(G146&gt;0,G146&gt;=E146+F146),IF(AND(H146&lt;&gt;"",A146&lt;&gt;"",H146&gt;A146+Settings!$C$7),"Paid late","Paid"),IF(G146&gt;0,"Partial",IF(AND(A146&lt;&gt;"",TODAY()&gt;A146+Settings!$C$7),"Unpaid","Due")))))</f>
        <v/>
      </c>
      <c r="L146" s="52" t="str">
        <f t="shared" si="10"/>
        <v/>
      </c>
      <c r="M146" s="47"/>
      <c r="N146" s="48" t="str">
        <f t="shared" si="11"/>
        <v/>
      </c>
      <c r="O146" s="48" t="str">
        <f>IF(B146="","",COUNTIF($B$7:B146,B146))</f>
        <v/>
      </c>
      <c r="P146" s="48" t="str">
        <f t="shared" si="12"/>
        <v/>
      </c>
      <c r="Q146" s="48" t="str">
        <f t="shared" si="13"/>
        <v/>
      </c>
      <c r="R146" s="48" t="str">
        <f t="shared" si="14"/>
        <v/>
      </c>
    </row>
    <row r="147" spans="1:18" ht="16" x14ac:dyDescent="0.2">
      <c r="A147" s="50"/>
      <c r="B147" s="47"/>
      <c r="C147" s="48" t="str">
        <f>IF(B147="","",IFERROR(INDEX(Tenants!$B$6:$B$35,MATCH(B147,Tenants!$A$6:$A$35,0)),"Unit not found"))</f>
        <v/>
      </c>
      <c r="D147" s="48" t="str">
        <f>IF(B147="","",IF(J147="Y","(vacant)",IFERROR(INDEX(Tenants!$C$6:$C$35,MATCH(B147,Tenants!$A$6:$A$35,0)),"")))</f>
        <v/>
      </c>
      <c r="E147" s="56"/>
      <c r="F147" s="56"/>
      <c r="G147" s="56"/>
      <c r="H147" s="50"/>
      <c r="I147" s="47"/>
      <c r="J147" s="47"/>
      <c r="K147" s="48" t="str">
        <f ca="1">IF(B147="","",IF(UPPER(J147)="Y","Vacant",IF(AND(G147&gt;0,G147&gt;=E147+F147),IF(AND(H147&lt;&gt;"",A147&lt;&gt;"",H147&gt;A147+Settings!$C$7),"Paid late","Paid"),IF(G147&gt;0,"Partial",IF(AND(A147&lt;&gt;"",TODAY()&gt;A147+Settings!$C$7),"Unpaid","Due")))))</f>
        <v/>
      </c>
      <c r="L147" s="52" t="str">
        <f t="shared" si="10"/>
        <v/>
      </c>
      <c r="M147" s="47"/>
      <c r="N147" s="48" t="str">
        <f t="shared" si="11"/>
        <v/>
      </c>
      <c r="O147" s="48" t="str">
        <f>IF(B147="","",COUNTIF($B$7:B147,B147))</f>
        <v/>
      </c>
      <c r="P147" s="48" t="str">
        <f t="shared" si="12"/>
        <v/>
      </c>
      <c r="Q147" s="48" t="str">
        <f t="shared" si="13"/>
        <v/>
      </c>
      <c r="R147" s="48" t="str">
        <f t="shared" si="14"/>
        <v/>
      </c>
    </row>
    <row r="148" spans="1:18" ht="16" x14ac:dyDescent="0.2">
      <c r="A148" s="50"/>
      <c r="B148" s="47"/>
      <c r="C148" s="48" t="str">
        <f>IF(B148="","",IFERROR(INDEX(Tenants!$B$6:$B$35,MATCH(B148,Tenants!$A$6:$A$35,0)),"Unit not found"))</f>
        <v/>
      </c>
      <c r="D148" s="48" t="str">
        <f>IF(B148="","",IF(J148="Y","(vacant)",IFERROR(INDEX(Tenants!$C$6:$C$35,MATCH(B148,Tenants!$A$6:$A$35,0)),"")))</f>
        <v/>
      </c>
      <c r="E148" s="56"/>
      <c r="F148" s="56"/>
      <c r="G148" s="56"/>
      <c r="H148" s="50"/>
      <c r="I148" s="47"/>
      <c r="J148" s="47"/>
      <c r="K148" s="48" t="str">
        <f ca="1">IF(B148="","",IF(UPPER(J148)="Y","Vacant",IF(AND(G148&gt;0,G148&gt;=E148+F148),IF(AND(H148&lt;&gt;"",A148&lt;&gt;"",H148&gt;A148+Settings!$C$7),"Paid late","Paid"),IF(G148&gt;0,"Partial",IF(AND(A148&lt;&gt;"",TODAY()&gt;A148+Settings!$C$7),"Unpaid","Due")))))</f>
        <v/>
      </c>
      <c r="L148" s="52" t="str">
        <f t="shared" si="10"/>
        <v/>
      </c>
      <c r="M148" s="47"/>
      <c r="N148" s="48" t="str">
        <f t="shared" si="11"/>
        <v/>
      </c>
      <c r="O148" s="48" t="str">
        <f>IF(B148="","",COUNTIF($B$7:B148,B148))</f>
        <v/>
      </c>
      <c r="P148" s="48" t="str">
        <f t="shared" si="12"/>
        <v/>
      </c>
      <c r="Q148" s="48" t="str">
        <f t="shared" si="13"/>
        <v/>
      </c>
      <c r="R148" s="48" t="str">
        <f t="shared" si="14"/>
        <v/>
      </c>
    </row>
    <row r="149" spans="1:18" ht="16" x14ac:dyDescent="0.2">
      <c r="A149" s="50"/>
      <c r="B149" s="47"/>
      <c r="C149" s="48" t="str">
        <f>IF(B149="","",IFERROR(INDEX(Tenants!$B$6:$B$35,MATCH(B149,Tenants!$A$6:$A$35,0)),"Unit not found"))</f>
        <v/>
      </c>
      <c r="D149" s="48" t="str">
        <f>IF(B149="","",IF(J149="Y","(vacant)",IFERROR(INDEX(Tenants!$C$6:$C$35,MATCH(B149,Tenants!$A$6:$A$35,0)),"")))</f>
        <v/>
      </c>
      <c r="E149" s="56"/>
      <c r="F149" s="56"/>
      <c r="G149" s="56"/>
      <c r="H149" s="50"/>
      <c r="I149" s="47"/>
      <c r="J149" s="47"/>
      <c r="K149" s="48" t="str">
        <f ca="1">IF(B149="","",IF(UPPER(J149)="Y","Vacant",IF(AND(G149&gt;0,G149&gt;=E149+F149),IF(AND(H149&lt;&gt;"",A149&lt;&gt;"",H149&gt;A149+Settings!$C$7),"Paid late","Paid"),IF(G149&gt;0,"Partial",IF(AND(A149&lt;&gt;"",TODAY()&gt;A149+Settings!$C$7),"Unpaid","Due")))))</f>
        <v/>
      </c>
      <c r="L149" s="52" t="str">
        <f t="shared" si="10"/>
        <v/>
      </c>
      <c r="M149" s="47"/>
      <c r="N149" s="48" t="str">
        <f t="shared" si="11"/>
        <v/>
      </c>
      <c r="O149" s="48" t="str">
        <f>IF(B149="","",COUNTIF($B$7:B149,B149))</f>
        <v/>
      </c>
      <c r="P149" s="48" t="str">
        <f t="shared" si="12"/>
        <v/>
      </c>
      <c r="Q149" s="48" t="str">
        <f t="shared" si="13"/>
        <v/>
      </c>
      <c r="R149" s="48" t="str">
        <f t="shared" si="14"/>
        <v/>
      </c>
    </row>
    <row r="150" spans="1:18" ht="16" x14ac:dyDescent="0.2">
      <c r="A150" s="50"/>
      <c r="B150" s="47"/>
      <c r="C150" s="48" t="str">
        <f>IF(B150="","",IFERROR(INDEX(Tenants!$B$6:$B$35,MATCH(B150,Tenants!$A$6:$A$35,0)),"Unit not found"))</f>
        <v/>
      </c>
      <c r="D150" s="48" t="str">
        <f>IF(B150="","",IF(J150="Y","(vacant)",IFERROR(INDEX(Tenants!$C$6:$C$35,MATCH(B150,Tenants!$A$6:$A$35,0)),"")))</f>
        <v/>
      </c>
      <c r="E150" s="56"/>
      <c r="F150" s="56"/>
      <c r="G150" s="56"/>
      <c r="H150" s="50"/>
      <c r="I150" s="47"/>
      <c r="J150" s="47"/>
      <c r="K150" s="48" t="str">
        <f ca="1">IF(B150="","",IF(UPPER(J150)="Y","Vacant",IF(AND(G150&gt;0,G150&gt;=E150+F150),IF(AND(H150&lt;&gt;"",A150&lt;&gt;"",H150&gt;A150+Settings!$C$7),"Paid late","Paid"),IF(G150&gt;0,"Partial",IF(AND(A150&lt;&gt;"",TODAY()&gt;A150+Settings!$C$7),"Unpaid","Due")))))</f>
        <v/>
      </c>
      <c r="L150" s="52" t="str">
        <f t="shared" si="10"/>
        <v/>
      </c>
      <c r="M150" s="47"/>
      <c r="N150" s="48" t="str">
        <f t="shared" si="11"/>
        <v/>
      </c>
      <c r="O150" s="48" t="str">
        <f>IF(B150="","",COUNTIF($B$7:B150,B150))</f>
        <v/>
      </c>
      <c r="P150" s="48" t="str">
        <f t="shared" si="12"/>
        <v/>
      </c>
      <c r="Q150" s="48" t="str">
        <f t="shared" si="13"/>
        <v/>
      </c>
      <c r="R150" s="48" t="str">
        <f t="shared" si="14"/>
        <v/>
      </c>
    </row>
    <row r="151" spans="1:18" ht="16" x14ac:dyDescent="0.2">
      <c r="A151" s="50"/>
      <c r="B151" s="47"/>
      <c r="C151" s="48" t="str">
        <f>IF(B151="","",IFERROR(INDEX(Tenants!$B$6:$B$35,MATCH(B151,Tenants!$A$6:$A$35,0)),"Unit not found"))</f>
        <v/>
      </c>
      <c r="D151" s="48" t="str">
        <f>IF(B151="","",IF(J151="Y","(vacant)",IFERROR(INDEX(Tenants!$C$6:$C$35,MATCH(B151,Tenants!$A$6:$A$35,0)),"")))</f>
        <v/>
      </c>
      <c r="E151" s="56"/>
      <c r="F151" s="56"/>
      <c r="G151" s="56"/>
      <c r="H151" s="50"/>
      <c r="I151" s="47"/>
      <c r="J151" s="47"/>
      <c r="K151" s="48" t="str">
        <f ca="1">IF(B151="","",IF(UPPER(J151)="Y","Vacant",IF(AND(G151&gt;0,G151&gt;=E151+F151),IF(AND(H151&lt;&gt;"",A151&lt;&gt;"",H151&gt;A151+Settings!$C$7),"Paid late","Paid"),IF(G151&gt;0,"Partial",IF(AND(A151&lt;&gt;"",TODAY()&gt;A151+Settings!$C$7),"Unpaid","Due")))))</f>
        <v/>
      </c>
      <c r="L151" s="52" t="str">
        <f t="shared" si="10"/>
        <v/>
      </c>
      <c r="M151" s="47"/>
      <c r="N151" s="48" t="str">
        <f t="shared" si="11"/>
        <v/>
      </c>
      <c r="O151" s="48" t="str">
        <f>IF(B151="","",COUNTIF($B$7:B151,B151))</f>
        <v/>
      </c>
      <c r="P151" s="48" t="str">
        <f t="shared" si="12"/>
        <v/>
      </c>
      <c r="Q151" s="48" t="str">
        <f t="shared" si="13"/>
        <v/>
      </c>
      <c r="R151" s="48" t="str">
        <f t="shared" si="14"/>
        <v/>
      </c>
    </row>
    <row r="152" spans="1:18" ht="16" x14ac:dyDescent="0.2">
      <c r="A152" s="50"/>
      <c r="B152" s="47"/>
      <c r="C152" s="48" t="str">
        <f>IF(B152="","",IFERROR(INDEX(Tenants!$B$6:$B$35,MATCH(B152,Tenants!$A$6:$A$35,0)),"Unit not found"))</f>
        <v/>
      </c>
      <c r="D152" s="48" t="str">
        <f>IF(B152="","",IF(J152="Y","(vacant)",IFERROR(INDEX(Tenants!$C$6:$C$35,MATCH(B152,Tenants!$A$6:$A$35,0)),"")))</f>
        <v/>
      </c>
      <c r="E152" s="56"/>
      <c r="F152" s="56"/>
      <c r="G152" s="56"/>
      <c r="H152" s="50"/>
      <c r="I152" s="47"/>
      <c r="J152" s="47"/>
      <c r="K152" s="48" t="str">
        <f ca="1">IF(B152="","",IF(UPPER(J152)="Y","Vacant",IF(AND(G152&gt;0,G152&gt;=E152+F152),IF(AND(H152&lt;&gt;"",A152&lt;&gt;"",H152&gt;A152+Settings!$C$7),"Paid late","Paid"),IF(G152&gt;0,"Partial",IF(AND(A152&lt;&gt;"",TODAY()&gt;A152+Settings!$C$7),"Unpaid","Due")))))</f>
        <v/>
      </c>
      <c r="L152" s="52" t="str">
        <f t="shared" si="10"/>
        <v/>
      </c>
      <c r="M152" s="47"/>
      <c r="N152" s="48" t="str">
        <f t="shared" si="11"/>
        <v/>
      </c>
      <c r="O152" s="48" t="str">
        <f>IF(B152="","",COUNTIF($B$7:B152,B152))</f>
        <v/>
      </c>
      <c r="P152" s="48" t="str">
        <f t="shared" si="12"/>
        <v/>
      </c>
      <c r="Q152" s="48" t="str">
        <f t="shared" si="13"/>
        <v/>
      </c>
      <c r="R152" s="48" t="str">
        <f t="shared" si="14"/>
        <v/>
      </c>
    </row>
    <row r="153" spans="1:18" ht="16" x14ac:dyDescent="0.2">
      <c r="A153" s="50"/>
      <c r="B153" s="47"/>
      <c r="C153" s="48" t="str">
        <f>IF(B153="","",IFERROR(INDEX(Tenants!$B$6:$B$35,MATCH(B153,Tenants!$A$6:$A$35,0)),"Unit not found"))</f>
        <v/>
      </c>
      <c r="D153" s="48" t="str">
        <f>IF(B153="","",IF(J153="Y","(vacant)",IFERROR(INDEX(Tenants!$C$6:$C$35,MATCH(B153,Tenants!$A$6:$A$35,0)),"")))</f>
        <v/>
      </c>
      <c r="E153" s="56"/>
      <c r="F153" s="56"/>
      <c r="G153" s="56"/>
      <c r="H153" s="50"/>
      <c r="I153" s="47"/>
      <c r="J153" s="47"/>
      <c r="K153" s="48" t="str">
        <f ca="1">IF(B153="","",IF(UPPER(J153)="Y","Vacant",IF(AND(G153&gt;0,G153&gt;=E153+F153),IF(AND(H153&lt;&gt;"",A153&lt;&gt;"",H153&gt;A153+Settings!$C$7),"Paid late","Paid"),IF(G153&gt;0,"Partial",IF(AND(A153&lt;&gt;"",TODAY()&gt;A153+Settings!$C$7),"Unpaid","Due")))))</f>
        <v/>
      </c>
      <c r="L153" s="52" t="str">
        <f t="shared" si="10"/>
        <v/>
      </c>
      <c r="M153" s="47"/>
      <c r="N153" s="48" t="str">
        <f t="shared" si="11"/>
        <v/>
      </c>
      <c r="O153" s="48" t="str">
        <f>IF(B153="","",COUNTIF($B$7:B153,B153))</f>
        <v/>
      </c>
      <c r="P153" s="48" t="str">
        <f t="shared" si="12"/>
        <v/>
      </c>
      <c r="Q153" s="48" t="str">
        <f t="shared" si="13"/>
        <v/>
      </c>
      <c r="R153" s="48" t="str">
        <f t="shared" si="14"/>
        <v/>
      </c>
    </row>
    <row r="154" spans="1:18" ht="16" x14ac:dyDescent="0.2">
      <c r="A154" s="50"/>
      <c r="B154" s="47"/>
      <c r="C154" s="48" t="str">
        <f>IF(B154="","",IFERROR(INDEX(Tenants!$B$6:$B$35,MATCH(B154,Tenants!$A$6:$A$35,0)),"Unit not found"))</f>
        <v/>
      </c>
      <c r="D154" s="48" t="str">
        <f>IF(B154="","",IF(J154="Y","(vacant)",IFERROR(INDEX(Tenants!$C$6:$C$35,MATCH(B154,Tenants!$A$6:$A$35,0)),"")))</f>
        <v/>
      </c>
      <c r="E154" s="56"/>
      <c r="F154" s="56"/>
      <c r="G154" s="56"/>
      <c r="H154" s="50"/>
      <c r="I154" s="47"/>
      <c r="J154" s="47"/>
      <c r="K154" s="48" t="str">
        <f ca="1">IF(B154="","",IF(UPPER(J154)="Y","Vacant",IF(AND(G154&gt;0,G154&gt;=E154+F154),IF(AND(H154&lt;&gt;"",A154&lt;&gt;"",H154&gt;A154+Settings!$C$7),"Paid late","Paid"),IF(G154&gt;0,"Partial",IF(AND(A154&lt;&gt;"",TODAY()&gt;A154+Settings!$C$7),"Unpaid","Due")))))</f>
        <v/>
      </c>
      <c r="L154" s="52" t="str">
        <f t="shared" si="10"/>
        <v/>
      </c>
      <c r="M154" s="47"/>
      <c r="N154" s="48" t="str">
        <f t="shared" si="11"/>
        <v/>
      </c>
      <c r="O154" s="48" t="str">
        <f>IF(B154="","",COUNTIF($B$7:B154,B154))</f>
        <v/>
      </c>
      <c r="P154" s="48" t="str">
        <f t="shared" si="12"/>
        <v/>
      </c>
      <c r="Q154" s="48" t="str">
        <f t="shared" si="13"/>
        <v/>
      </c>
      <c r="R154" s="48" t="str">
        <f t="shared" si="14"/>
        <v/>
      </c>
    </row>
    <row r="155" spans="1:18" ht="16" x14ac:dyDescent="0.2">
      <c r="A155" s="50"/>
      <c r="B155" s="47"/>
      <c r="C155" s="48" t="str">
        <f>IF(B155="","",IFERROR(INDEX(Tenants!$B$6:$B$35,MATCH(B155,Tenants!$A$6:$A$35,0)),"Unit not found"))</f>
        <v/>
      </c>
      <c r="D155" s="48" t="str">
        <f>IF(B155="","",IF(J155="Y","(vacant)",IFERROR(INDEX(Tenants!$C$6:$C$35,MATCH(B155,Tenants!$A$6:$A$35,0)),"")))</f>
        <v/>
      </c>
      <c r="E155" s="56"/>
      <c r="F155" s="56"/>
      <c r="G155" s="56"/>
      <c r="H155" s="50"/>
      <c r="I155" s="47"/>
      <c r="J155" s="47"/>
      <c r="K155" s="48" t="str">
        <f ca="1">IF(B155="","",IF(UPPER(J155)="Y","Vacant",IF(AND(G155&gt;0,G155&gt;=E155+F155),IF(AND(H155&lt;&gt;"",A155&lt;&gt;"",H155&gt;A155+Settings!$C$7),"Paid late","Paid"),IF(G155&gt;0,"Partial",IF(AND(A155&lt;&gt;"",TODAY()&gt;A155+Settings!$C$7),"Unpaid","Due")))))</f>
        <v/>
      </c>
      <c r="L155" s="52" t="str">
        <f t="shared" si="10"/>
        <v/>
      </c>
      <c r="M155" s="47"/>
      <c r="N155" s="48" t="str">
        <f t="shared" si="11"/>
        <v/>
      </c>
      <c r="O155" s="48" t="str">
        <f>IF(B155="","",COUNTIF($B$7:B155,B155))</f>
        <v/>
      </c>
      <c r="P155" s="48" t="str">
        <f t="shared" si="12"/>
        <v/>
      </c>
      <c r="Q155" s="48" t="str">
        <f t="shared" si="13"/>
        <v/>
      </c>
      <c r="R155" s="48" t="str">
        <f t="shared" si="14"/>
        <v/>
      </c>
    </row>
    <row r="156" spans="1:18" ht="16" x14ac:dyDescent="0.2">
      <c r="A156" s="50"/>
      <c r="B156" s="47"/>
      <c r="C156" s="48" t="str">
        <f>IF(B156="","",IFERROR(INDEX(Tenants!$B$6:$B$35,MATCH(B156,Tenants!$A$6:$A$35,0)),"Unit not found"))</f>
        <v/>
      </c>
      <c r="D156" s="48" t="str">
        <f>IF(B156="","",IF(J156="Y","(vacant)",IFERROR(INDEX(Tenants!$C$6:$C$35,MATCH(B156,Tenants!$A$6:$A$35,0)),"")))</f>
        <v/>
      </c>
      <c r="E156" s="56"/>
      <c r="F156" s="56"/>
      <c r="G156" s="56"/>
      <c r="H156" s="50"/>
      <c r="I156" s="47"/>
      <c r="J156" s="47"/>
      <c r="K156" s="48" t="str">
        <f ca="1">IF(B156="","",IF(UPPER(J156)="Y","Vacant",IF(AND(G156&gt;0,G156&gt;=E156+F156),IF(AND(H156&lt;&gt;"",A156&lt;&gt;"",H156&gt;A156+Settings!$C$7),"Paid late","Paid"),IF(G156&gt;0,"Partial",IF(AND(A156&lt;&gt;"",TODAY()&gt;A156+Settings!$C$7),"Unpaid","Due")))))</f>
        <v/>
      </c>
      <c r="L156" s="52" t="str">
        <f t="shared" si="10"/>
        <v/>
      </c>
      <c r="M156" s="47"/>
      <c r="N156" s="48" t="str">
        <f t="shared" si="11"/>
        <v/>
      </c>
      <c r="O156" s="48" t="str">
        <f>IF(B156="","",COUNTIF($B$7:B156,B156))</f>
        <v/>
      </c>
      <c r="P156" s="48" t="str">
        <f t="shared" si="12"/>
        <v/>
      </c>
      <c r="Q156" s="48" t="str">
        <f t="shared" si="13"/>
        <v/>
      </c>
      <c r="R156" s="48" t="str">
        <f t="shared" si="14"/>
        <v/>
      </c>
    </row>
    <row r="157" spans="1:18" ht="16" x14ac:dyDescent="0.2">
      <c r="A157" s="50"/>
      <c r="B157" s="47"/>
      <c r="C157" s="48" t="str">
        <f>IF(B157="","",IFERROR(INDEX(Tenants!$B$6:$B$35,MATCH(B157,Tenants!$A$6:$A$35,0)),"Unit not found"))</f>
        <v/>
      </c>
      <c r="D157" s="48" t="str">
        <f>IF(B157="","",IF(J157="Y","(vacant)",IFERROR(INDEX(Tenants!$C$6:$C$35,MATCH(B157,Tenants!$A$6:$A$35,0)),"")))</f>
        <v/>
      </c>
      <c r="E157" s="56"/>
      <c r="F157" s="56"/>
      <c r="G157" s="56"/>
      <c r="H157" s="50"/>
      <c r="I157" s="47"/>
      <c r="J157" s="47"/>
      <c r="K157" s="48" t="str">
        <f ca="1">IF(B157="","",IF(UPPER(J157)="Y","Vacant",IF(AND(G157&gt;0,G157&gt;=E157+F157),IF(AND(H157&lt;&gt;"",A157&lt;&gt;"",H157&gt;A157+Settings!$C$7),"Paid late","Paid"),IF(G157&gt;0,"Partial",IF(AND(A157&lt;&gt;"",TODAY()&gt;A157+Settings!$C$7),"Unpaid","Due")))))</f>
        <v/>
      </c>
      <c r="L157" s="52" t="str">
        <f t="shared" si="10"/>
        <v/>
      </c>
      <c r="M157" s="47"/>
      <c r="N157" s="48" t="str">
        <f t="shared" si="11"/>
        <v/>
      </c>
      <c r="O157" s="48" t="str">
        <f>IF(B157="","",COUNTIF($B$7:B157,B157))</f>
        <v/>
      </c>
      <c r="P157" s="48" t="str">
        <f t="shared" si="12"/>
        <v/>
      </c>
      <c r="Q157" s="48" t="str">
        <f t="shared" si="13"/>
        <v/>
      </c>
      <c r="R157" s="48" t="str">
        <f t="shared" si="14"/>
        <v/>
      </c>
    </row>
    <row r="158" spans="1:18" ht="16" x14ac:dyDescent="0.2">
      <c r="A158" s="50"/>
      <c r="B158" s="47"/>
      <c r="C158" s="48" t="str">
        <f>IF(B158="","",IFERROR(INDEX(Tenants!$B$6:$B$35,MATCH(B158,Tenants!$A$6:$A$35,0)),"Unit not found"))</f>
        <v/>
      </c>
      <c r="D158" s="48" t="str">
        <f>IF(B158="","",IF(J158="Y","(vacant)",IFERROR(INDEX(Tenants!$C$6:$C$35,MATCH(B158,Tenants!$A$6:$A$35,0)),"")))</f>
        <v/>
      </c>
      <c r="E158" s="56"/>
      <c r="F158" s="56"/>
      <c r="G158" s="56"/>
      <c r="H158" s="50"/>
      <c r="I158" s="47"/>
      <c r="J158" s="47"/>
      <c r="K158" s="48" t="str">
        <f ca="1">IF(B158="","",IF(UPPER(J158)="Y","Vacant",IF(AND(G158&gt;0,G158&gt;=E158+F158),IF(AND(H158&lt;&gt;"",A158&lt;&gt;"",H158&gt;A158+Settings!$C$7),"Paid late","Paid"),IF(G158&gt;0,"Partial",IF(AND(A158&lt;&gt;"",TODAY()&gt;A158+Settings!$C$7),"Unpaid","Due")))))</f>
        <v/>
      </c>
      <c r="L158" s="52" t="str">
        <f t="shared" si="10"/>
        <v/>
      </c>
      <c r="M158" s="47"/>
      <c r="N158" s="48" t="str">
        <f t="shared" si="11"/>
        <v/>
      </c>
      <c r="O158" s="48" t="str">
        <f>IF(B158="","",COUNTIF($B$7:B158,B158))</f>
        <v/>
      </c>
      <c r="P158" s="48" t="str">
        <f t="shared" si="12"/>
        <v/>
      </c>
      <c r="Q158" s="48" t="str">
        <f t="shared" si="13"/>
        <v/>
      </c>
      <c r="R158" s="48" t="str">
        <f t="shared" si="14"/>
        <v/>
      </c>
    </row>
    <row r="159" spans="1:18" ht="16" x14ac:dyDescent="0.2">
      <c r="A159" s="50"/>
      <c r="B159" s="47"/>
      <c r="C159" s="48" t="str">
        <f>IF(B159="","",IFERROR(INDEX(Tenants!$B$6:$B$35,MATCH(B159,Tenants!$A$6:$A$35,0)),"Unit not found"))</f>
        <v/>
      </c>
      <c r="D159" s="48" t="str">
        <f>IF(B159="","",IF(J159="Y","(vacant)",IFERROR(INDEX(Tenants!$C$6:$C$35,MATCH(B159,Tenants!$A$6:$A$35,0)),"")))</f>
        <v/>
      </c>
      <c r="E159" s="56"/>
      <c r="F159" s="56"/>
      <c r="G159" s="56"/>
      <c r="H159" s="50"/>
      <c r="I159" s="47"/>
      <c r="J159" s="47"/>
      <c r="K159" s="48" t="str">
        <f ca="1">IF(B159="","",IF(UPPER(J159)="Y","Vacant",IF(AND(G159&gt;0,G159&gt;=E159+F159),IF(AND(H159&lt;&gt;"",A159&lt;&gt;"",H159&gt;A159+Settings!$C$7),"Paid late","Paid"),IF(G159&gt;0,"Partial",IF(AND(A159&lt;&gt;"",TODAY()&gt;A159+Settings!$C$7),"Unpaid","Due")))))</f>
        <v/>
      </c>
      <c r="L159" s="52" t="str">
        <f t="shared" si="10"/>
        <v/>
      </c>
      <c r="M159" s="47"/>
      <c r="N159" s="48" t="str">
        <f t="shared" si="11"/>
        <v/>
      </c>
      <c r="O159" s="48" t="str">
        <f>IF(B159="","",COUNTIF($B$7:B159,B159))</f>
        <v/>
      </c>
      <c r="P159" s="48" t="str">
        <f t="shared" si="12"/>
        <v/>
      </c>
      <c r="Q159" s="48" t="str">
        <f t="shared" si="13"/>
        <v/>
      </c>
      <c r="R159" s="48" t="str">
        <f t="shared" si="14"/>
        <v/>
      </c>
    </row>
    <row r="160" spans="1:18" ht="16" x14ac:dyDescent="0.2">
      <c r="A160" s="50"/>
      <c r="B160" s="47"/>
      <c r="C160" s="48" t="str">
        <f>IF(B160="","",IFERROR(INDEX(Tenants!$B$6:$B$35,MATCH(B160,Tenants!$A$6:$A$35,0)),"Unit not found"))</f>
        <v/>
      </c>
      <c r="D160" s="48" t="str">
        <f>IF(B160="","",IF(J160="Y","(vacant)",IFERROR(INDEX(Tenants!$C$6:$C$35,MATCH(B160,Tenants!$A$6:$A$35,0)),"")))</f>
        <v/>
      </c>
      <c r="E160" s="56"/>
      <c r="F160" s="56"/>
      <c r="G160" s="56"/>
      <c r="H160" s="50"/>
      <c r="I160" s="47"/>
      <c r="J160" s="47"/>
      <c r="K160" s="48" t="str">
        <f ca="1">IF(B160="","",IF(UPPER(J160)="Y","Vacant",IF(AND(G160&gt;0,G160&gt;=E160+F160),IF(AND(H160&lt;&gt;"",A160&lt;&gt;"",H160&gt;A160+Settings!$C$7),"Paid late","Paid"),IF(G160&gt;0,"Partial",IF(AND(A160&lt;&gt;"",TODAY()&gt;A160+Settings!$C$7),"Unpaid","Due")))))</f>
        <v/>
      </c>
      <c r="L160" s="52" t="str">
        <f t="shared" si="10"/>
        <v/>
      </c>
      <c r="M160" s="47"/>
      <c r="N160" s="48" t="str">
        <f t="shared" si="11"/>
        <v/>
      </c>
      <c r="O160" s="48" t="str">
        <f>IF(B160="","",COUNTIF($B$7:B160,B160))</f>
        <v/>
      </c>
      <c r="P160" s="48" t="str">
        <f t="shared" si="12"/>
        <v/>
      </c>
      <c r="Q160" s="48" t="str">
        <f t="shared" si="13"/>
        <v/>
      </c>
      <c r="R160" s="48" t="str">
        <f t="shared" si="14"/>
        <v/>
      </c>
    </row>
    <row r="161" spans="1:18" ht="16" x14ac:dyDescent="0.2">
      <c r="A161" s="50"/>
      <c r="B161" s="47"/>
      <c r="C161" s="48" t="str">
        <f>IF(B161="","",IFERROR(INDEX(Tenants!$B$6:$B$35,MATCH(B161,Tenants!$A$6:$A$35,0)),"Unit not found"))</f>
        <v/>
      </c>
      <c r="D161" s="48" t="str">
        <f>IF(B161="","",IF(J161="Y","(vacant)",IFERROR(INDEX(Tenants!$C$6:$C$35,MATCH(B161,Tenants!$A$6:$A$35,0)),"")))</f>
        <v/>
      </c>
      <c r="E161" s="56"/>
      <c r="F161" s="56"/>
      <c r="G161" s="56"/>
      <c r="H161" s="50"/>
      <c r="I161" s="47"/>
      <c r="J161" s="47"/>
      <c r="K161" s="48" t="str">
        <f ca="1">IF(B161="","",IF(UPPER(J161)="Y","Vacant",IF(AND(G161&gt;0,G161&gt;=E161+F161),IF(AND(H161&lt;&gt;"",A161&lt;&gt;"",H161&gt;A161+Settings!$C$7),"Paid late","Paid"),IF(G161&gt;0,"Partial",IF(AND(A161&lt;&gt;"",TODAY()&gt;A161+Settings!$C$7),"Unpaid","Due")))))</f>
        <v/>
      </c>
      <c r="L161" s="52" t="str">
        <f t="shared" si="10"/>
        <v/>
      </c>
      <c r="M161" s="47"/>
      <c r="N161" s="48" t="str">
        <f t="shared" si="11"/>
        <v/>
      </c>
      <c r="O161" s="48" t="str">
        <f>IF(B161="","",COUNTIF($B$7:B161,B161))</f>
        <v/>
      </c>
      <c r="P161" s="48" t="str">
        <f t="shared" si="12"/>
        <v/>
      </c>
      <c r="Q161" s="48" t="str">
        <f t="shared" si="13"/>
        <v/>
      </c>
      <c r="R161" s="48" t="str">
        <f t="shared" si="14"/>
        <v/>
      </c>
    </row>
    <row r="162" spans="1:18" ht="16" x14ac:dyDescent="0.2">
      <c r="A162" s="50"/>
      <c r="B162" s="47"/>
      <c r="C162" s="48" t="str">
        <f>IF(B162="","",IFERROR(INDEX(Tenants!$B$6:$B$35,MATCH(B162,Tenants!$A$6:$A$35,0)),"Unit not found"))</f>
        <v/>
      </c>
      <c r="D162" s="48" t="str">
        <f>IF(B162="","",IF(J162="Y","(vacant)",IFERROR(INDEX(Tenants!$C$6:$C$35,MATCH(B162,Tenants!$A$6:$A$35,0)),"")))</f>
        <v/>
      </c>
      <c r="E162" s="56"/>
      <c r="F162" s="56"/>
      <c r="G162" s="56"/>
      <c r="H162" s="50"/>
      <c r="I162" s="47"/>
      <c r="J162" s="47"/>
      <c r="K162" s="48" t="str">
        <f ca="1">IF(B162="","",IF(UPPER(J162)="Y","Vacant",IF(AND(G162&gt;0,G162&gt;=E162+F162),IF(AND(H162&lt;&gt;"",A162&lt;&gt;"",H162&gt;A162+Settings!$C$7),"Paid late","Paid"),IF(G162&gt;0,"Partial",IF(AND(A162&lt;&gt;"",TODAY()&gt;A162+Settings!$C$7),"Unpaid","Due")))))</f>
        <v/>
      </c>
      <c r="L162" s="52" t="str">
        <f t="shared" si="10"/>
        <v/>
      </c>
      <c r="M162" s="47"/>
      <c r="N162" s="48" t="str">
        <f t="shared" si="11"/>
        <v/>
      </c>
      <c r="O162" s="48" t="str">
        <f>IF(B162="","",COUNTIF($B$7:B162,B162))</f>
        <v/>
      </c>
      <c r="P162" s="48" t="str">
        <f t="shared" si="12"/>
        <v/>
      </c>
      <c r="Q162" s="48" t="str">
        <f t="shared" si="13"/>
        <v/>
      </c>
      <c r="R162" s="48" t="str">
        <f t="shared" si="14"/>
        <v/>
      </c>
    </row>
    <row r="163" spans="1:18" ht="16" x14ac:dyDescent="0.2">
      <c r="A163" s="50"/>
      <c r="B163" s="47"/>
      <c r="C163" s="48" t="str">
        <f>IF(B163="","",IFERROR(INDEX(Tenants!$B$6:$B$35,MATCH(B163,Tenants!$A$6:$A$35,0)),"Unit not found"))</f>
        <v/>
      </c>
      <c r="D163" s="48" t="str">
        <f>IF(B163="","",IF(J163="Y","(vacant)",IFERROR(INDEX(Tenants!$C$6:$C$35,MATCH(B163,Tenants!$A$6:$A$35,0)),"")))</f>
        <v/>
      </c>
      <c r="E163" s="56"/>
      <c r="F163" s="56"/>
      <c r="G163" s="56"/>
      <c r="H163" s="50"/>
      <c r="I163" s="47"/>
      <c r="J163" s="47"/>
      <c r="K163" s="48" t="str">
        <f ca="1">IF(B163="","",IF(UPPER(J163)="Y","Vacant",IF(AND(G163&gt;0,G163&gt;=E163+F163),IF(AND(H163&lt;&gt;"",A163&lt;&gt;"",H163&gt;A163+Settings!$C$7),"Paid late","Paid"),IF(G163&gt;0,"Partial",IF(AND(A163&lt;&gt;"",TODAY()&gt;A163+Settings!$C$7),"Unpaid","Due")))))</f>
        <v/>
      </c>
      <c r="L163" s="52" t="str">
        <f t="shared" si="10"/>
        <v/>
      </c>
      <c r="M163" s="47"/>
      <c r="N163" s="48" t="str">
        <f t="shared" si="11"/>
        <v/>
      </c>
      <c r="O163" s="48" t="str">
        <f>IF(B163="","",COUNTIF($B$7:B163,B163))</f>
        <v/>
      </c>
      <c r="P163" s="48" t="str">
        <f t="shared" si="12"/>
        <v/>
      </c>
      <c r="Q163" s="48" t="str">
        <f t="shared" si="13"/>
        <v/>
      </c>
      <c r="R163" s="48" t="str">
        <f t="shared" si="14"/>
        <v/>
      </c>
    </row>
    <row r="164" spans="1:18" ht="16" x14ac:dyDescent="0.2">
      <c r="A164" s="50"/>
      <c r="B164" s="47"/>
      <c r="C164" s="48" t="str">
        <f>IF(B164="","",IFERROR(INDEX(Tenants!$B$6:$B$35,MATCH(B164,Tenants!$A$6:$A$35,0)),"Unit not found"))</f>
        <v/>
      </c>
      <c r="D164" s="48" t="str">
        <f>IF(B164="","",IF(J164="Y","(vacant)",IFERROR(INDEX(Tenants!$C$6:$C$35,MATCH(B164,Tenants!$A$6:$A$35,0)),"")))</f>
        <v/>
      </c>
      <c r="E164" s="56"/>
      <c r="F164" s="56"/>
      <c r="G164" s="56"/>
      <c r="H164" s="50"/>
      <c r="I164" s="47"/>
      <c r="J164" s="47"/>
      <c r="K164" s="48" t="str">
        <f ca="1">IF(B164="","",IF(UPPER(J164)="Y","Vacant",IF(AND(G164&gt;0,G164&gt;=E164+F164),IF(AND(H164&lt;&gt;"",A164&lt;&gt;"",H164&gt;A164+Settings!$C$7),"Paid late","Paid"),IF(G164&gt;0,"Partial",IF(AND(A164&lt;&gt;"",TODAY()&gt;A164+Settings!$C$7),"Unpaid","Due")))))</f>
        <v/>
      </c>
      <c r="L164" s="52" t="str">
        <f t="shared" si="10"/>
        <v/>
      </c>
      <c r="M164" s="47"/>
      <c r="N164" s="48" t="str">
        <f t="shared" si="11"/>
        <v/>
      </c>
      <c r="O164" s="48" t="str">
        <f>IF(B164="","",COUNTIF($B$7:B164,B164))</f>
        <v/>
      </c>
      <c r="P164" s="48" t="str">
        <f t="shared" si="12"/>
        <v/>
      </c>
      <c r="Q164" s="48" t="str">
        <f t="shared" si="13"/>
        <v/>
      </c>
      <c r="R164" s="48" t="str">
        <f t="shared" si="14"/>
        <v/>
      </c>
    </row>
    <row r="165" spans="1:18" ht="16" x14ac:dyDescent="0.2">
      <c r="A165" s="50"/>
      <c r="B165" s="47"/>
      <c r="C165" s="48" t="str">
        <f>IF(B165="","",IFERROR(INDEX(Tenants!$B$6:$B$35,MATCH(B165,Tenants!$A$6:$A$35,0)),"Unit not found"))</f>
        <v/>
      </c>
      <c r="D165" s="48" t="str">
        <f>IF(B165="","",IF(J165="Y","(vacant)",IFERROR(INDEX(Tenants!$C$6:$C$35,MATCH(B165,Tenants!$A$6:$A$35,0)),"")))</f>
        <v/>
      </c>
      <c r="E165" s="56"/>
      <c r="F165" s="56"/>
      <c r="G165" s="56"/>
      <c r="H165" s="50"/>
      <c r="I165" s="47"/>
      <c r="J165" s="47"/>
      <c r="K165" s="48" t="str">
        <f ca="1">IF(B165="","",IF(UPPER(J165)="Y","Vacant",IF(AND(G165&gt;0,G165&gt;=E165+F165),IF(AND(H165&lt;&gt;"",A165&lt;&gt;"",H165&gt;A165+Settings!$C$7),"Paid late","Paid"),IF(G165&gt;0,"Partial",IF(AND(A165&lt;&gt;"",TODAY()&gt;A165+Settings!$C$7),"Unpaid","Due")))))</f>
        <v/>
      </c>
      <c r="L165" s="52" t="str">
        <f t="shared" si="10"/>
        <v/>
      </c>
      <c r="M165" s="47"/>
      <c r="N165" s="48" t="str">
        <f t="shared" si="11"/>
        <v/>
      </c>
      <c r="O165" s="48" t="str">
        <f>IF(B165="","",COUNTIF($B$7:B165,B165))</f>
        <v/>
      </c>
      <c r="P165" s="48" t="str">
        <f t="shared" si="12"/>
        <v/>
      </c>
      <c r="Q165" s="48" t="str">
        <f t="shared" si="13"/>
        <v/>
      </c>
      <c r="R165" s="48" t="str">
        <f t="shared" si="14"/>
        <v/>
      </c>
    </row>
    <row r="166" spans="1:18" ht="16" x14ac:dyDescent="0.2">
      <c r="A166" s="50"/>
      <c r="B166" s="47"/>
      <c r="C166" s="48" t="str">
        <f>IF(B166="","",IFERROR(INDEX(Tenants!$B$6:$B$35,MATCH(B166,Tenants!$A$6:$A$35,0)),"Unit not found"))</f>
        <v/>
      </c>
      <c r="D166" s="48" t="str">
        <f>IF(B166="","",IF(J166="Y","(vacant)",IFERROR(INDEX(Tenants!$C$6:$C$35,MATCH(B166,Tenants!$A$6:$A$35,0)),"")))</f>
        <v/>
      </c>
      <c r="E166" s="56"/>
      <c r="F166" s="56"/>
      <c r="G166" s="56"/>
      <c r="H166" s="50"/>
      <c r="I166" s="47"/>
      <c r="J166" s="47"/>
      <c r="K166" s="48" t="str">
        <f ca="1">IF(B166="","",IF(UPPER(J166)="Y","Vacant",IF(AND(G166&gt;0,G166&gt;=E166+F166),IF(AND(H166&lt;&gt;"",A166&lt;&gt;"",H166&gt;A166+Settings!$C$7),"Paid late","Paid"),IF(G166&gt;0,"Partial",IF(AND(A166&lt;&gt;"",TODAY()&gt;A166+Settings!$C$7),"Unpaid","Due")))))</f>
        <v/>
      </c>
      <c r="L166" s="52" t="str">
        <f t="shared" si="10"/>
        <v/>
      </c>
      <c r="M166" s="47"/>
      <c r="N166" s="48" t="str">
        <f t="shared" si="11"/>
        <v/>
      </c>
      <c r="O166" s="48" t="str">
        <f>IF(B166="","",COUNTIF($B$7:B166,B166))</f>
        <v/>
      </c>
      <c r="P166" s="48" t="str">
        <f t="shared" si="12"/>
        <v/>
      </c>
      <c r="Q166" s="48" t="str">
        <f t="shared" si="13"/>
        <v/>
      </c>
      <c r="R166" s="48" t="str">
        <f t="shared" si="14"/>
        <v/>
      </c>
    </row>
    <row r="167" spans="1:18" ht="16" x14ac:dyDescent="0.2">
      <c r="A167" s="50"/>
      <c r="B167" s="47"/>
      <c r="C167" s="48" t="str">
        <f>IF(B167="","",IFERROR(INDEX(Tenants!$B$6:$B$35,MATCH(B167,Tenants!$A$6:$A$35,0)),"Unit not found"))</f>
        <v/>
      </c>
      <c r="D167" s="48" t="str">
        <f>IF(B167="","",IF(J167="Y","(vacant)",IFERROR(INDEX(Tenants!$C$6:$C$35,MATCH(B167,Tenants!$A$6:$A$35,0)),"")))</f>
        <v/>
      </c>
      <c r="E167" s="56"/>
      <c r="F167" s="56"/>
      <c r="G167" s="56"/>
      <c r="H167" s="50"/>
      <c r="I167" s="47"/>
      <c r="J167" s="47"/>
      <c r="K167" s="48" t="str">
        <f ca="1">IF(B167="","",IF(UPPER(J167)="Y","Vacant",IF(AND(G167&gt;0,G167&gt;=E167+F167),IF(AND(H167&lt;&gt;"",A167&lt;&gt;"",H167&gt;A167+Settings!$C$7),"Paid late","Paid"),IF(G167&gt;0,"Partial",IF(AND(A167&lt;&gt;"",TODAY()&gt;A167+Settings!$C$7),"Unpaid","Due")))))</f>
        <v/>
      </c>
      <c r="L167" s="52" t="str">
        <f t="shared" si="10"/>
        <v/>
      </c>
      <c r="M167" s="47"/>
      <c r="N167" s="48" t="str">
        <f t="shared" si="11"/>
        <v/>
      </c>
      <c r="O167" s="48" t="str">
        <f>IF(B167="","",COUNTIF($B$7:B167,B167))</f>
        <v/>
      </c>
      <c r="P167" s="48" t="str">
        <f t="shared" si="12"/>
        <v/>
      </c>
      <c r="Q167" s="48" t="str">
        <f t="shared" si="13"/>
        <v/>
      </c>
      <c r="R167" s="48" t="str">
        <f t="shared" si="14"/>
        <v/>
      </c>
    </row>
    <row r="168" spans="1:18" ht="16" x14ac:dyDescent="0.2">
      <c r="A168" s="50"/>
      <c r="B168" s="47"/>
      <c r="C168" s="48" t="str">
        <f>IF(B168="","",IFERROR(INDEX(Tenants!$B$6:$B$35,MATCH(B168,Tenants!$A$6:$A$35,0)),"Unit not found"))</f>
        <v/>
      </c>
      <c r="D168" s="48" t="str">
        <f>IF(B168="","",IF(J168="Y","(vacant)",IFERROR(INDEX(Tenants!$C$6:$C$35,MATCH(B168,Tenants!$A$6:$A$35,0)),"")))</f>
        <v/>
      </c>
      <c r="E168" s="56"/>
      <c r="F168" s="56"/>
      <c r="G168" s="56"/>
      <c r="H168" s="50"/>
      <c r="I168" s="47"/>
      <c r="J168" s="47"/>
      <c r="K168" s="48" t="str">
        <f ca="1">IF(B168="","",IF(UPPER(J168)="Y","Vacant",IF(AND(G168&gt;0,G168&gt;=E168+F168),IF(AND(H168&lt;&gt;"",A168&lt;&gt;"",H168&gt;A168+Settings!$C$7),"Paid late","Paid"),IF(G168&gt;0,"Partial",IF(AND(A168&lt;&gt;"",TODAY()&gt;A168+Settings!$C$7),"Unpaid","Due")))))</f>
        <v/>
      </c>
      <c r="L168" s="52" t="str">
        <f t="shared" si="10"/>
        <v/>
      </c>
      <c r="M168" s="47"/>
      <c r="N168" s="48" t="str">
        <f t="shared" si="11"/>
        <v/>
      </c>
      <c r="O168" s="48" t="str">
        <f>IF(B168="","",COUNTIF($B$7:B168,B168))</f>
        <v/>
      </c>
      <c r="P168" s="48" t="str">
        <f t="shared" si="12"/>
        <v/>
      </c>
      <c r="Q168" s="48" t="str">
        <f t="shared" si="13"/>
        <v/>
      </c>
      <c r="R168" s="48" t="str">
        <f t="shared" si="14"/>
        <v/>
      </c>
    </row>
    <row r="169" spans="1:18" ht="16" x14ac:dyDescent="0.2">
      <c r="A169" s="50"/>
      <c r="B169" s="47"/>
      <c r="C169" s="48" t="str">
        <f>IF(B169="","",IFERROR(INDEX(Tenants!$B$6:$B$35,MATCH(B169,Tenants!$A$6:$A$35,0)),"Unit not found"))</f>
        <v/>
      </c>
      <c r="D169" s="48" t="str">
        <f>IF(B169="","",IF(J169="Y","(vacant)",IFERROR(INDEX(Tenants!$C$6:$C$35,MATCH(B169,Tenants!$A$6:$A$35,0)),"")))</f>
        <v/>
      </c>
      <c r="E169" s="56"/>
      <c r="F169" s="56"/>
      <c r="G169" s="56"/>
      <c r="H169" s="50"/>
      <c r="I169" s="47"/>
      <c r="J169" s="47"/>
      <c r="K169" s="48" t="str">
        <f ca="1">IF(B169="","",IF(UPPER(J169)="Y","Vacant",IF(AND(G169&gt;0,G169&gt;=E169+F169),IF(AND(H169&lt;&gt;"",A169&lt;&gt;"",H169&gt;A169+Settings!$C$7),"Paid late","Paid"),IF(G169&gt;0,"Partial",IF(AND(A169&lt;&gt;"",TODAY()&gt;A169+Settings!$C$7),"Unpaid","Due")))))</f>
        <v/>
      </c>
      <c r="L169" s="52" t="str">
        <f t="shared" si="10"/>
        <v/>
      </c>
      <c r="M169" s="47"/>
      <c r="N169" s="48" t="str">
        <f t="shared" si="11"/>
        <v/>
      </c>
      <c r="O169" s="48" t="str">
        <f>IF(B169="","",COUNTIF($B$7:B169,B169))</f>
        <v/>
      </c>
      <c r="P169" s="48" t="str">
        <f t="shared" si="12"/>
        <v/>
      </c>
      <c r="Q169" s="48" t="str">
        <f t="shared" si="13"/>
        <v/>
      </c>
      <c r="R169" s="48" t="str">
        <f t="shared" si="14"/>
        <v/>
      </c>
    </row>
    <row r="170" spans="1:18" ht="16" x14ac:dyDescent="0.2">
      <c r="A170" s="50"/>
      <c r="B170" s="47"/>
      <c r="C170" s="48" t="str">
        <f>IF(B170="","",IFERROR(INDEX(Tenants!$B$6:$B$35,MATCH(B170,Tenants!$A$6:$A$35,0)),"Unit not found"))</f>
        <v/>
      </c>
      <c r="D170" s="48" t="str">
        <f>IF(B170="","",IF(J170="Y","(vacant)",IFERROR(INDEX(Tenants!$C$6:$C$35,MATCH(B170,Tenants!$A$6:$A$35,0)),"")))</f>
        <v/>
      </c>
      <c r="E170" s="56"/>
      <c r="F170" s="56"/>
      <c r="G170" s="56"/>
      <c r="H170" s="50"/>
      <c r="I170" s="47"/>
      <c r="J170" s="47"/>
      <c r="K170" s="48" t="str">
        <f ca="1">IF(B170="","",IF(UPPER(J170)="Y","Vacant",IF(AND(G170&gt;0,G170&gt;=E170+F170),IF(AND(H170&lt;&gt;"",A170&lt;&gt;"",H170&gt;A170+Settings!$C$7),"Paid late","Paid"),IF(G170&gt;0,"Partial",IF(AND(A170&lt;&gt;"",TODAY()&gt;A170+Settings!$C$7),"Unpaid","Due")))))</f>
        <v/>
      </c>
      <c r="L170" s="52" t="str">
        <f t="shared" si="10"/>
        <v/>
      </c>
      <c r="M170" s="47"/>
      <c r="N170" s="48" t="str">
        <f t="shared" si="11"/>
        <v/>
      </c>
      <c r="O170" s="48" t="str">
        <f>IF(B170="","",COUNTIF($B$7:B170,B170))</f>
        <v/>
      </c>
      <c r="P170" s="48" t="str">
        <f t="shared" si="12"/>
        <v/>
      </c>
      <c r="Q170" s="48" t="str">
        <f t="shared" si="13"/>
        <v/>
      </c>
      <c r="R170" s="48" t="str">
        <f t="shared" si="14"/>
        <v/>
      </c>
    </row>
    <row r="171" spans="1:18" ht="16" x14ac:dyDescent="0.2">
      <c r="A171" s="50"/>
      <c r="B171" s="47"/>
      <c r="C171" s="48" t="str">
        <f>IF(B171="","",IFERROR(INDEX(Tenants!$B$6:$B$35,MATCH(B171,Tenants!$A$6:$A$35,0)),"Unit not found"))</f>
        <v/>
      </c>
      <c r="D171" s="48" t="str">
        <f>IF(B171="","",IF(J171="Y","(vacant)",IFERROR(INDEX(Tenants!$C$6:$C$35,MATCH(B171,Tenants!$A$6:$A$35,0)),"")))</f>
        <v/>
      </c>
      <c r="E171" s="56"/>
      <c r="F171" s="56"/>
      <c r="G171" s="56"/>
      <c r="H171" s="50"/>
      <c r="I171" s="47"/>
      <c r="J171" s="47"/>
      <c r="K171" s="48" t="str">
        <f ca="1">IF(B171="","",IF(UPPER(J171)="Y","Vacant",IF(AND(G171&gt;0,G171&gt;=E171+F171),IF(AND(H171&lt;&gt;"",A171&lt;&gt;"",H171&gt;A171+Settings!$C$7),"Paid late","Paid"),IF(G171&gt;0,"Partial",IF(AND(A171&lt;&gt;"",TODAY()&gt;A171+Settings!$C$7),"Unpaid","Due")))))</f>
        <v/>
      </c>
      <c r="L171" s="52" t="str">
        <f t="shared" si="10"/>
        <v/>
      </c>
      <c r="M171" s="47"/>
      <c r="N171" s="48" t="str">
        <f t="shared" si="11"/>
        <v/>
      </c>
      <c r="O171" s="48" t="str">
        <f>IF(B171="","",COUNTIF($B$7:B171,B171))</f>
        <v/>
      </c>
      <c r="P171" s="48" t="str">
        <f t="shared" si="12"/>
        <v/>
      </c>
      <c r="Q171" s="48" t="str">
        <f t="shared" si="13"/>
        <v/>
      </c>
      <c r="R171" s="48" t="str">
        <f t="shared" si="14"/>
        <v/>
      </c>
    </row>
    <row r="172" spans="1:18" ht="16" x14ac:dyDescent="0.2">
      <c r="A172" s="50"/>
      <c r="B172" s="47"/>
      <c r="C172" s="48" t="str">
        <f>IF(B172="","",IFERROR(INDEX(Tenants!$B$6:$B$35,MATCH(B172,Tenants!$A$6:$A$35,0)),"Unit not found"))</f>
        <v/>
      </c>
      <c r="D172" s="48" t="str">
        <f>IF(B172="","",IF(J172="Y","(vacant)",IFERROR(INDEX(Tenants!$C$6:$C$35,MATCH(B172,Tenants!$A$6:$A$35,0)),"")))</f>
        <v/>
      </c>
      <c r="E172" s="56"/>
      <c r="F172" s="56"/>
      <c r="G172" s="56"/>
      <c r="H172" s="50"/>
      <c r="I172" s="47"/>
      <c r="J172" s="47"/>
      <c r="K172" s="48" t="str">
        <f ca="1">IF(B172="","",IF(UPPER(J172)="Y","Vacant",IF(AND(G172&gt;0,G172&gt;=E172+F172),IF(AND(H172&lt;&gt;"",A172&lt;&gt;"",H172&gt;A172+Settings!$C$7),"Paid late","Paid"),IF(G172&gt;0,"Partial",IF(AND(A172&lt;&gt;"",TODAY()&gt;A172+Settings!$C$7),"Unpaid","Due")))))</f>
        <v/>
      </c>
      <c r="L172" s="52" t="str">
        <f t="shared" si="10"/>
        <v/>
      </c>
      <c r="M172" s="47"/>
      <c r="N172" s="48" t="str">
        <f t="shared" si="11"/>
        <v/>
      </c>
      <c r="O172" s="48" t="str">
        <f>IF(B172="","",COUNTIF($B$7:B172,B172))</f>
        <v/>
      </c>
      <c r="P172" s="48" t="str">
        <f t="shared" si="12"/>
        <v/>
      </c>
      <c r="Q172" s="48" t="str">
        <f t="shared" si="13"/>
        <v/>
      </c>
      <c r="R172" s="48" t="str">
        <f t="shared" si="14"/>
        <v/>
      </c>
    </row>
    <row r="173" spans="1:18" ht="16" x14ac:dyDescent="0.2">
      <c r="A173" s="50"/>
      <c r="B173" s="47"/>
      <c r="C173" s="48" t="str">
        <f>IF(B173="","",IFERROR(INDEX(Tenants!$B$6:$B$35,MATCH(B173,Tenants!$A$6:$A$35,0)),"Unit not found"))</f>
        <v/>
      </c>
      <c r="D173" s="48" t="str">
        <f>IF(B173="","",IF(J173="Y","(vacant)",IFERROR(INDEX(Tenants!$C$6:$C$35,MATCH(B173,Tenants!$A$6:$A$35,0)),"")))</f>
        <v/>
      </c>
      <c r="E173" s="56"/>
      <c r="F173" s="56"/>
      <c r="G173" s="56"/>
      <c r="H173" s="50"/>
      <c r="I173" s="47"/>
      <c r="J173" s="47"/>
      <c r="K173" s="48" t="str">
        <f ca="1">IF(B173="","",IF(UPPER(J173)="Y","Vacant",IF(AND(G173&gt;0,G173&gt;=E173+F173),IF(AND(H173&lt;&gt;"",A173&lt;&gt;"",H173&gt;A173+Settings!$C$7),"Paid late","Paid"),IF(G173&gt;0,"Partial",IF(AND(A173&lt;&gt;"",TODAY()&gt;A173+Settings!$C$7),"Unpaid","Due")))))</f>
        <v/>
      </c>
      <c r="L173" s="52" t="str">
        <f t="shared" si="10"/>
        <v/>
      </c>
      <c r="M173" s="47"/>
      <c r="N173" s="48" t="str">
        <f t="shared" si="11"/>
        <v/>
      </c>
      <c r="O173" s="48" t="str">
        <f>IF(B173="","",COUNTIF($B$7:B173,B173))</f>
        <v/>
      </c>
      <c r="P173" s="48" t="str">
        <f t="shared" si="12"/>
        <v/>
      </c>
      <c r="Q173" s="48" t="str">
        <f t="shared" si="13"/>
        <v/>
      </c>
      <c r="R173" s="48" t="str">
        <f t="shared" si="14"/>
        <v/>
      </c>
    </row>
    <row r="174" spans="1:18" ht="16" x14ac:dyDescent="0.2">
      <c r="A174" s="50"/>
      <c r="B174" s="47"/>
      <c r="C174" s="48" t="str">
        <f>IF(B174="","",IFERROR(INDEX(Tenants!$B$6:$B$35,MATCH(B174,Tenants!$A$6:$A$35,0)),"Unit not found"))</f>
        <v/>
      </c>
      <c r="D174" s="48" t="str">
        <f>IF(B174="","",IF(J174="Y","(vacant)",IFERROR(INDEX(Tenants!$C$6:$C$35,MATCH(B174,Tenants!$A$6:$A$35,0)),"")))</f>
        <v/>
      </c>
      <c r="E174" s="56"/>
      <c r="F174" s="56"/>
      <c r="G174" s="56"/>
      <c r="H174" s="50"/>
      <c r="I174" s="47"/>
      <c r="J174" s="47"/>
      <c r="K174" s="48" t="str">
        <f ca="1">IF(B174="","",IF(UPPER(J174)="Y","Vacant",IF(AND(G174&gt;0,G174&gt;=E174+F174),IF(AND(H174&lt;&gt;"",A174&lt;&gt;"",H174&gt;A174+Settings!$C$7),"Paid late","Paid"),IF(G174&gt;0,"Partial",IF(AND(A174&lt;&gt;"",TODAY()&gt;A174+Settings!$C$7),"Unpaid","Due")))))</f>
        <v/>
      </c>
      <c r="L174" s="52" t="str">
        <f t="shared" si="10"/>
        <v/>
      </c>
      <c r="M174" s="47"/>
      <c r="N174" s="48" t="str">
        <f t="shared" si="11"/>
        <v/>
      </c>
      <c r="O174" s="48" t="str">
        <f>IF(B174="","",COUNTIF($B$7:B174,B174))</f>
        <v/>
      </c>
      <c r="P174" s="48" t="str">
        <f t="shared" si="12"/>
        <v/>
      </c>
      <c r="Q174" s="48" t="str">
        <f t="shared" si="13"/>
        <v/>
      </c>
      <c r="R174" s="48" t="str">
        <f t="shared" si="14"/>
        <v/>
      </c>
    </row>
    <row r="175" spans="1:18" ht="16" x14ac:dyDescent="0.2">
      <c r="A175" s="50"/>
      <c r="B175" s="47"/>
      <c r="C175" s="48" t="str">
        <f>IF(B175="","",IFERROR(INDEX(Tenants!$B$6:$B$35,MATCH(B175,Tenants!$A$6:$A$35,0)),"Unit not found"))</f>
        <v/>
      </c>
      <c r="D175" s="48" t="str">
        <f>IF(B175="","",IF(J175="Y","(vacant)",IFERROR(INDEX(Tenants!$C$6:$C$35,MATCH(B175,Tenants!$A$6:$A$35,0)),"")))</f>
        <v/>
      </c>
      <c r="E175" s="56"/>
      <c r="F175" s="56"/>
      <c r="G175" s="56"/>
      <c r="H175" s="50"/>
      <c r="I175" s="47"/>
      <c r="J175" s="47"/>
      <c r="K175" s="48" t="str">
        <f ca="1">IF(B175="","",IF(UPPER(J175)="Y","Vacant",IF(AND(G175&gt;0,G175&gt;=E175+F175),IF(AND(H175&lt;&gt;"",A175&lt;&gt;"",H175&gt;A175+Settings!$C$7),"Paid late","Paid"),IF(G175&gt;0,"Partial",IF(AND(A175&lt;&gt;"",TODAY()&gt;A175+Settings!$C$7),"Unpaid","Due")))))</f>
        <v/>
      </c>
      <c r="L175" s="52" t="str">
        <f t="shared" si="10"/>
        <v/>
      </c>
      <c r="M175" s="47"/>
      <c r="N175" s="48" t="str">
        <f t="shared" si="11"/>
        <v/>
      </c>
      <c r="O175" s="48" t="str">
        <f>IF(B175="","",COUNTIF($B$7:B175,B175))</f>
        <v/>
      </c>
      <c r="P175" s="48" t="str">
        <f t="shared" si="12"/>
        <v/>
      </c>
      <c r="Q175" s="48" t="str">
        <f t="shared" si="13"/>
        <v/>
      </c>
      <c r="R175" s="48" t="str">
        <f t="shared" si="14"/>
        <v/>
      </c>
    </row>
    <row r="176" spans="1:18" ht="16" x14ac:dyDescent="0.2">
      <c r="A176" s="50"/>
      <c r="B176" s="47"/>
      <c r="C176" s="48" t="str">
        <f>IF(B176="","",IFERROR(INDEX(Tenants!$B$6:$B$35,MATCH(B176,Tenants!$A$6:$A$35,0)),"Unit not found"))</f>
        <v/>
      </c>
      <c r="D176" s="48" t="str">
        <f>IF(B176="","",IF(J176="Y","(vacant)",IFERROR(INDEX(Tenants!$C$6:$C$35,MATCH(B176,Tenants!$A$6:$A$35,0)),"")))</f>
        <v/>
      </c>
      <c r="E176" s="56"/>
      <c r="F176" s="56"/>
      <c r="G176" s="56"/>
      <c r="H176" s="50"/>
      <c r="I176" s="47"/>
      <c r="J176" s="47"/>
      <c r="K176" s="48" t="str">
        <f ca="1">IF(B176="","",IF(UPPER(J176)="Y","Vacant",IF(AND(G176&gt;0,G176&gt;=E176+F176),IF(AND(H176&lt;&gt;"",A176&lt;&gt;"",H176&gt;A176+Settings!$C$7),"Paid late","Paid"),IF(G176&gt;0,"Partial",IF(AND(A176&lt;&gt;"",TODAY()&gt;A176+Settings!$C$7),"Unpaid","Due")))))</f>
        <v/>
      </c>
      <c r="L176" s="52" t="str">
        <f t="shared" si="10"/>
        <v/>
      </c>
      <c r="M176" s="47"/>
      <c r="N176" s="48" t="str">
        <f t="shared" si="11"/>
        <v/>
      </c>
      <c r="O176" s="48" t="str">
        <f>IF(B176="","",COUNTIF($B$7:B176,B176))</f>
        <v/>
      </c>
      <c r="P176" s="48" t="str">
        <f t="shared" si="12"/>
        <v/>
      </c>
      <c r="Q176" s="48" t="str">
        <f t="shared" si="13"/>
        <v/>
      </c>
      <c r="R176" s="48" t="str">
        <f t="shared" si="14"/>
        <v/>
      </c>
    </row>
    <row r="177" spans="1:18" ht="16" x14ac:dyDescent="0.2">
      <c r="A177" s="50"/>
      <c r="B177" s="47"/>
      <c r="C177" s="48" t="str">
        <f>IF(B177="","",IFERROR(INDEX(Tenants!$B$6:$B$35,MATCH(B177,Tenants!$A$6:$A$35,0)),"Unit not found"))</f>
        <v/>
      </c>
      <c r="D177" s="48" t="str">
        <f>IF(B177="","",IF(J177="Y","(vacant)",IFERROR(INDEX(Tenants!$C$6:$C$35,MATCH(B177,Tenants!$A$6:$A$35,0)),"")))</f>
        <v/>
      </c>
      <c r="E177" s="56"/>
      <c r="F177" s="56"/>
      <c r="G177" s="56"/>
      <c r="H177" s="50"/>
      <c r="I177" s="47"/>
      <c r="J177" s="47"/>
      <c r="K177" s="48" t="str">
        <f ca="1">IF(B177="","",IF(UPPER(J177)="Y","Vacant",IF(AND(G177&gt;0,G177&gt;=E177+F177),IF(AND(H177&lt;&gt;"",A177&lt;&gt;"",H177&gt;A177+Settings!$C$7),"Paid late","Paid"),IF(G177&gt;0,"Partial",IF(AND(A177&lt;&gt;"",TODAY()&gt;A177+Settings!$C$7),"Unpaid","Due")))))</f>
        <v/>
      </c>
      <c r="L177" s="52" t="str">
        <f t="shared" si="10"/>
        <v/>
      </c>
      <c r="M177" s="47"/>
      <c r="N177" s="48" t="str">
        <f t="shared" si="11"/>
        <v/>
      </c>
      <c r="O177" s="48" t="str">
        <f>IF(B177="","",COUNTIF($B$7:B177,B177))</f>
        <v/>
      </c>
      <c r="P177" s="48" t="str">
        <f t="shared" si="12"/>
        <v/>
      </c>
      <c r="Q177" s="48" t="str">
        <f t="shared" si="13"/>
        <v/>
      </c>
      <c r="R177" s="48" t="str">
        <f t="shared" si="14"/>
        <v/>
      </c>
    </row>
    <row r="178" spans="1:18" ht="16" x14ac:dyDescent="0.2">
      <c r="A178" s="50"/>
      <c r="B178" s="47"/>
      <c r="C178" s="48" t="str">
        <f>IF(B178="","",IFERROR(INDEX(Tenants!$B$6:$B$35,MATCH(B178,Tenants!$A$6:$A$35,0)),"Unit not found"))</f>
        <v/>
      </c>
      <c r="D178" s="48" t="str">
        <f>IF(B178="","",IF(J178="Y","(vacant)",IFERROR(INDEX(Tenants!$C$6:$C$35,MATCH(B178,Tenants!$A$6:$A$35,0)),"")))</f>
        <v/>
      </c>
      <c r="E178" s="56"/>
      <c r="F178" s="56"/>
      <c r="G178" s="56"/>
      <c r="H178" s="50"/>
      <c r="I178" s="47"/>
      <c r="J178" s="47"/>
      <c r="K178" s="48" t="str">
        <f ca="1">IF(B178="","",IF(UPPER(J178)="Y","Vacant",IF(AND(G178&gt;0,G178&gt;=E178+F178),IF(AND(H178&lt;&gt;"",A178&lt;&gt;"",H178&gt;A178+Settings!$C$7),"Paid late","Paid"),IF(G178&gt;0,"Partial",IF(AND(A178&lt;&gt;"",TODAY()&gt;A178+Settings!$C$7),"Unpaid","Due")))))</f>
        <v/>
      </c>
      <c r="L178" s="52" t="str">
        <f t="shared" si="10"/>
        <v/>
      </c>
      <c r="M178" s="47"/>
      <c r="N178" s="48" t="str">
        <f t="shared" si="11"/>
        <v/>
      </c>
      <c r="O178" s="48" t="str">
        <f>IF(B178="","",COUNTIF($B$7:B178,B178))</f>
        <v/>
      </c>
      <c r="P178" s="48" t="str">
        <f t="shared" si="12"/>
        <v/>
      </c>
      <c r="Q178" s="48" t="str">
        <f t="shared" si="13"/>
        <v/>
      </c>
      <c r="R178" s="48" t="str">
        <f t="shared" si="14"/>
        <v/>
      </c>
    </row>
    <row r="179" spans="1:18" ht="16" x14ac:dyDescent="0.2">
      <c r="A179" s="50"/>
      <c r="B179" s="47"/>
      <c r="C179" s="48" t="str">
        <f>IF(B179="","",IFERROR(INDEX(Tenants!$B$6:$B$35,MATCH(B179,Tenants!$A$6:$A$35,0)),"Unit not found"))</f>
        <v/>
      </c>
      <c r="D179" s="48" t="str">
        <f>IF(B179="","",IF(J179="Y","(vacant)",IFERROR(INDEX(Tenants!$C$6:$C$35,MATCH(B179,Tenants!$A$6:$A$35,0)),"")))</f>
        <v/>
      </c>
      <c r="E179" s="56"/>
      <c r="F179" s="56"/>
      <c r="G179" s="56"/>
      <c r="H179" s="50"/>
      <c r="I179" s="47"/>
      <c r="J179" s="47"/>
      <c r="K179" s="48" t="str">
        <f ca="1">IF(B179="","",IF(UPPER(J179)="Y","Vacant",IF(AND(G179&gt;0,G179&gt;=E179+F179),IF(AND(H179&lt;&gt;"",A179&lt;&gt;"",H179&gt;A179+Settings!$C$7),"Paid late","Paid"),IF(G179&gt;0,"Partial",IF(AND(A179&lt;&gt;"",TODAY()&gt;A179+Settings!$C$7),"Unpaid","Due")))))</f>
        <v/>
      </c>
      <c r="L179" s="52" t="str">
        <f t="shared" si="10"/>
        <v/>
      </c>
      <c r="M179" s="47"/>
      <c r="N179" s="48" t="str">
        <f t="shared" si="11"/>
        <v/>
      </c>
      <c r="O179" s="48" t="str">
        <f>IF(B179="","",COUNTIF($B$7:B179,B179))</f>
        <v/>
      </c>
      <c r="P179" s="48" t="str">
        <f t="shared" si="12"/>
        <v/>
      </c>
      <c r="Q179" s="48" t="str">
        <f t="shared" si="13"/>
        <v/>
      </c>
      <c r="R179" s="48" t="str">
        <f t="shared" si="14"/>
        <v/>
      </c>
    </row>
    <row r="180" spans="1:18" ht="16" x14ac:dyDescent="0.2">
      <c r="A180" s="50"/>
      <c r="B180" s="47"/>
      <c r="C180" s="48" t="str">
        <f>IF(B180="","",IFERROR(INDEX(Tenants!$B$6:$B$35,MATCH(B180,Tenants!$A$6:$A$35,0)),"Unit not found"))</f>
        <v/>
      </c>
      <c r="D180" s="48" t="str">
        <f>IF(B180="","",IF(J180="Y","(vacant)",IFERROR(INDEX(Tenants!$C$6:$C$35,MATCH(B180,Tenants!$A$6:$A$35,0)),"")))</f>
        <v/>
      </c>
      <c r="E180" s="56"/>
      <c r="F180" s="56"/>
      <c r="G180" s="56"/>
      <c r="H180" s="50"/>
      <c r="I180" s="47"/>
      <c r="J180" s="47"/>
      <c r="K180" s="48" t="str">
        <f ca="1">IF(B180="","",IF(UPPER(J180)="Y","Vacant",IF(AND(G180&gt;0,G180&gt;=E180+F180),IF(AND(H180&lt;&gt;"",A180&lt;&gt;"",H180&gt;A180+Settings!$C$7),"Paid late","Paid"),IF(G180&gt;0,"Partial",IF(AND(A180&lt;&gt;"",TODAY()&gt;A180+Settings!$C$7),"Unpaid","Due")))))</f>
        <v/>
      </c>
      <c r="L180" s="52" t="str">
        <f t="shared" si="10"/>
        <v/>
      </c>
      <c r="M180" s="47"/>
      <c r="N180" s="48" t="str">
        <f t="shared" si="11"/>
        <v/>
      </c>
      <c r="O180" s="48" t="str">
        <f>IF(B180="","",COUNTIF($B$7:B180,B180))</f>
        <v/>
      </c>
      <c r="P180" s="48" t="str">
        <f t="shared" si="12"/>
        <v/>
      </c>
      <c r="Q180" s="48" t="str">
        <f t="shared" si="13"/>
        <v/>
      </c>
      <c r="R180" s="48" t="str">
        <f t="shared" si="14"/>
        <v/>
      </c>
    </row>
    <row r="181" spans="1:18" ht="16" x14ac:dyDescent="0.2">
      <c r="A181" s="50"/>
      <c r="B181" s="47"/>
      <c r="C181" s="48" t="str">
        <f>IF(B181="","",IFERROR(INDEX(Tenants!$B$6:$B$35,MATCH(B181,Tenants!$A$6:$A$35,0)),"Unit not found"))</f>
        <v/>
      </c>
      <c r="D181" s="48" t="str">
        <f>IF(B181="","",IF(J181="Y","(vacant)",IFERROR(INDEX(Tenants!$C$6:$C$35,MATCH(B181,Tenants!$A$6:$A$35,0)),"")))</f>
        <v/>
      </c>
      <c r="E181" s="56"/>
      <c r="F181" s="56"/>
      <c r="G181" s="56"/>
      <c r="H181" s="50"/>
      <c r="I181" s="47"/>
      <c r="J181" s="47"/>
      <c r="K181" s="48" t="str">
        <f ca="1">IF(B181="","",IF(UPPER(J181)="Y","Vacant",IF(AND(G181&gt;0,G181&gt;=E181+F181),IF(AND(H181&lt;&gt;"",A181&lt;&gt;"",H181&gt;A181+Settings!$C$7),"Paid late","Paid"),IF(G181&gt;0,"Partial",IF(AND(A181&lt;&gt;"",TODAY()&gt;A181+Settings!$C$7),"Unpaid","Due")))))</f>
        <v/>
      </c>
      <c r="L181" s="52" t="str">
        <f t="shared" si="10"/>
        <v/>
      </c>
      <c r="M181" s="47"/>
      <c r="N181" s="48" t="str">
        <f t="shared" si="11"/>
        <v/>
      </c>
      <c r="O181" s="48" t="str">
        <f>IF(B181="","",COUNTIF($B$7:B181,B181))</f>
        <v/>
      </c>
      <c r="P181" s="48" t="str">
        <f t="shared" si="12"/>
        <v/>
      </c>
      <c r="Q181" s="48" t="str">
        <f t="shared" si="13"/>
        <v/>
      </c>
      <c r="R181" s="48" t="str">
        <f t="shared" si="14"/>
        <v/>
      </c>
    </row>
    <row r="182" spans="1:18" ht="16" x14ac:dyDescent="0.2">
      <c r="A182" s="50"/>
      <c r="B182" s="47"/>
      <c r="C182" s="48" t="str">
        <f>IF(B182="","",IFERROR(INDEX(Tenants!$B$6:$B$35,MATCH(B182,Tenants!$A$6:$A$35,0)),"Unit not found"))</f>
        <v/>
      </c>
      <c r="D182" s="48" t="str">
        <f>IF(B182="","",IF(J182="Y","(vacant)",IFERROR(INDEX(Tenants!$C$6:$C$35,MATCH(B182,Tenants!$A$6:$A$35,0)),"")))</f>
        <v/>
      </c>
      <c r="E182" s="56"/>
      <c r="F182" s="56"/>
      <c r="G182" s="56"/>
      <c r="H182" s="50"/>
      <c r="I182" s="47"/>
      <c r="J182" s="47"/>
      <c r="K182" s="48" t="str">
        <f ca="1">IF(B182="","",IF(UPPER(J182)="Y","Vacant",IF(AND(G182&gt;0,G182&gt;=E182+F182),IF(AND(H182&lt;&gt;"",A182&lt;&gt;"",H182&gt;A182+Settings!$C$7),"Paid late","Paid"),IF(G182&gt;0,"Partial",IF(AND(A182&lt;&gt;"",TODAY()&gt;A182+Settings!$C$7),"Unpaid","Due")))))</f>
        <v/>
      </c>
      <c r="L182" s="52" t="str">
        <f t="shared" si="10"/>
        <v/>
      </c>
      <c r="M182" s="47"/>
      <c r="N182" s="48" t="str">
        <f t="shared" si="11"/>
        <v/>
      </c>
      <c r="O182" s="48" t="str">
        <f>IF(B182="","",COUNTIF($B$7:B182,B182))</f>
        <v/>
      </c>
      <c r="P182" s="48" t="str">
        <f t="shared" si="12"/>
        <v/>
      </c>
      <c r="Q182" s="48" t="str">
        <f t="shared" si="13"/>
        <v/>
      </c>
      <c r="R182" s="48" t="str">
        <f t="shared" si="14"/>
        <v/>
      </c>
    </row>
    <row r="183" spans="1:18" ht="16" x14ac:dyDescent="0.2">
      <c r="A183" s="50"/>
      <c r="B183" s="47"/>
      <c r="C183" s="48" t="str">
        <f>IF(B183="","",IFERROR(INDEX(Tenants!$B$6:$B$35,MATCH(B183,Tenants!$A$6:$A$35,0)),"Unit not found"))</f>
        <v/>
      </c>
      <c r="D183" s="48" t="str">
        <f>IF(B183="","",IF(J183="Y","(vacant)",IFERROR(INDEX(Tenants!$C$6:$C$35,MATCH(B183,Tenants!$A$6:$A$35,0)),"")))</f>
        <v/>
      </c>
      <c r="E183" s="56"/>
      <c r="F183" s="56"/>
      <c r="G183" s="56"/>
      <c r="H183" s="50"/>
      <c r="I183" s="47"/>
      <c r="J183" s="47"/>
      <c r="K183" s="48" t="str">
        <f ca="1">IF(B183="","",IF(UPPER(J183)="Y","Vacant",IF(AND(G183&gt;0,G183&gt;=E183+F183),IF(AND(H183&lt;&gt;"",A183&lt;&gt;"",H183&gt;A183+Settings!$C$7),"Paid late","Paid"),IF(G183&gt;0,"Partial",IF(AND(A183&lt;&gt;"",TODAY()&gt;A183+Settings!$C$7),"Unpaid","Due")))))</f>
        <v/>
      </c>
      <c r="L183" s="52" t="str">
        <f t="shared" si="10"/>
        <v/>
      </c>
      <c r="M183" s="47"/>
      <c r="N183" s="48" t="str">
        <f t="shared" si="11"/>
        <v/>
      </c>
      <c r="O183" s="48" t="str">
        <f>IF(B183="","",COUNTIF($B$7:B183,B183))</f>
        <v/>
      </c>
      <c r="P183" s="48" t="str">
        <f t="shared" si="12"/>
        <v/>
      </c>
      <c r="Q183" s="48" t="str">
        <f t="shared" si="13"/>
        <v/>
      </c>
      <c r="R183" s="48" t="str">
        <f t="shared" si="14"/>
        <v/>
      </c>
    </row>
    <row r="184" spans="1:18" ht="16" x14ac:dyDescent="0.2">
      <c r="A184" s="50"/>
      <c r="B184" s="47"/>
      <c r="C184" s="48" t="str">
        <f>IF(B184="","",IFERROR(INDEX(Tenants!$B$6:$B$35,MATCH(B184,Tenants!$A$6:$A$35,0)),"Unit not found"))</f>
        <v/>
      </c>
      <c r="D184" s="48" t="str">
        <f>IF(B184="","",IF(J184="Y","(vacant)",IFERROR(INDEX(Tenants!$C$6:$C$35,MATCH(B184,Tenants!$A$6:$A$35,0)),"")))</f>
        <v/>
      </c>
      <c r="E184" s="56"/>
      <c r="F184" s="56"/>
      <c r="G184" s="56"/>
      <c r="H184" s="50"/>
      <c r="I184" s="47"/>
      <c r="J184" s="47"/>
      <c r="K184" s="48" t="str">
        <f ca="1">IF(B184="","",IF(UPPER(J184)="Y","Vacant",IF(AND(G184&gt;0,G184&gt;=E184+F184),IF(AND(H184&lt;&gt;"",A184&lt;&gt;"",H184&gt;A184+Settings!$C$7),"Paid late","Paid"),IF(G184&gt;0,"Partial",IF(AND(A184&lt;&gt;"",TODAY()&gt;A184+Settings!$C$7),"Unpaid","Due")))))</f>
        <v/>
      </c>
      <c r="L184" s="52" t="str">
        <f t="shared" si="10"/>
        <v/>
      </c>
      <c r="M184" s="47"/>
      <c r="N184" s="48" t="str">
        <f t="shared" si="11"/>
        <v/>
      </c>
      <c r="O184" s="48" t="str">
        <f>IF(B184="","",COUNTIF($B$7:B184,B184))</f>
        <v/>
      </c>
      <c r="P184" s="48" t="str">
        <f t="shared" si="12"/>
        <v/>
      </c>
      <c r="Q184" s="48" t="str">
        <f t="shared" si="13"/>
        <v/>
      </c>
      <c r="R184" s="48" t="str">
        <f t="shared" si="14"/>
        <v/>
      </c>
    </row>
    <row r="185" spans="1:18" ht="16" x14ac:dyDescent="0.2">
      <c r="A185" s="50"/>
      <c r="B185" s="47"/>
      <c r="C185" s="48" t="str">
        <f>IF(B185="","",IFERROR(INDEX(Tenants!$B$6:$B$35,MATCH(B185,Tenants!$A$6:$A$35,0)),"Unit not found"))</f>
        <v/>
      </c>
      <c r="D185" s="48" t="str">
        <f>IF(B185="","",IF(J185="Y","(vacant)",IFERROR(INDEX(Tenants!$C$6:$C$35,MATCH(B185,Tenants!$A$6:$A$35,0)),"")))</f>
        <v/>
      </c>
      <c r="E185" s="56"/>
      <c r="F185" s="56"/>
      <c r="G185" s="56"/>
      <c r="H185" s="50"/>
      <c r="I185" s="47"/>
      <c r="J185" s="47"/>
      <c r="K185" s="48" t="str">
        <f ca="1">IF(B185="","",IF(UPPER(J185)="Y","Vacant",IF(AND(G185&gt;0,G185&gt;=E185+F185),IF(AND(H185&lt;&gt;"",A185&lt;&gt;"",H185&gt;A185+Settings!$C$7),"Paid late","Paid"),IF(G185&gt;0,"Partial",IF(AND(A185&lt;&gt;"",TODAY()&gt;A185+Settings!$C$7),"Unpaid","Due")))))</f>
        <v/>
      </c>
      <c r="L185" s="52" t="str">
        <f t="shared" si="10"/>
        <v/>
      </c>
      <c r="M185" s="47"/>
      <c r="N185" s="48" t="str">
        <f t="shared" si="11"/>
        <v/>
      </c>
      <c r="O185" s="48" t="str">
        <f>IF(B185="","",COUNTIF($B$7:B185,B185))</f>
        <v/>
      </c>
      <c r="P185" s="48" t="str">
        <f t="shared" si="12"/>
        <v/>
      </c>
      <c r="Q185" s="48" t="str">
        <f t="shared" si="13"/>
        <v/>
      </c>
      <c r="R185" s="48" t="str">
        <f t="shared" si="14"/>
        <v/>
      </c>
    </row>
    <row r="186" spans="1:18" ht="16" x14ac:dyDescent="0.2">
      <c r="A186" s="50"/>
      <c r="B186" s="47"/>
      <c r="C186" s="48" t="str">
        <f>IF(B186="","",IFERROR(INDEX(Tenants!$B$6:$B$35,MATCH(B186,Tenants!$A$6:$A$35,0)),"Unit not found"))</f>
        <v/>
      </c>
      <c r="D186" s="48" t="str">
        <f>IF(B186="","",IF(J186="Y","(vacant)",IFERROR(INDEX(Tenants!$C$6:$C$35,MATCH(B186,Tenants!$A$6:$A$35,0)),"")))</f>
        <v/>
      </c>
      <c r="E186" s="56"/>
      <c r="F186" s="56"/>
      <c r="G186" s="56"/>
      <c r="H186" s="50"/>
      <c r="I186" s="47"/>
      <c r="J186" s="47"/>
      <c r="K186" s="48" t="str">
        <f ca="1">IF(B186="","",IF(UPPER(J186)="Y","Vacant",IF(AND(G186&gt;0,G186&gt;=E186+F186),IF(AND(H186&lt;&gt;"",A186&lt;&gt;"",H186&gt;A186+Settings!$C$7),"Paid late","Paid"),IF(G186&gt;0,"Partial",IF(AND(A186&lt;&gt;"",TODAY()&gt;A186+Settings!$C$7),"Unpaid","Due")))))</f>
        <v/>
      </c>
      <c r="L186" s="52" t="str">
        <f t="shared" si="10"/>
        <v/>
      </c>
      <c r="M186" s="47"/>
      <c r="N186" s="48" t="str">
        <f t="shared" si="11"/>
        <v/>
      </c>
      <c r="O186" s="48" t="str">
        <f>IF(B186="","",COUNTIF($B$7:B186,B186))</f>
        <v/>
      </c>
      <c r="P186" s="48" t="str">
        <f t="shared" si="12"/>
        <v/>
      </c>
      <c r="Q186" s="48" t="str">
        <f t="shared" si="13"/>
        <v/>
      </c>
      <c r="R186" s="48" t="str">
        <f t="shared" si="14"/>
        <v/>
      </c>
    </row>
    <row r="187" spans="1:18" ht="16" x14ac:dyDescent="0.2">
      <c r="A187" s="50"/>
      <c r="B187" s="47"/>
      <c r="C187" s="48" t="str">
        <f>IF(B187="","",IFERROR(INDEX(Tenants!$B$6:$B$35,MATCH(B187,Tenants!$A$6:$A$35,0)),"Unit not found"))</f>
        <v/>
      </c>
      <c r="D187" s="48" t="str">
        <f>IF(B187="","",IF(J187="Y","(vacant)",IFERROR(INDEX(Tenants!$C$6:$C$35,MATCH(B187,Tenants!$A$6:$A$35,0)),"")))</f>
        <v/>
      </c>
      <c r="E187" s="56"/>
      <c r="F187" s="56"/>
      <c r="G187" s="56"/>
      <c r="H187" s="50"/>
      <c r="I187" s="47"/>
      <c r="J187" s="47"/>
      <c r="K187" s="48" t="str">
        <f ca="1">IF(B187="","",IF(UPPER(J187)="Y","Vacant",IF(AND(G187&gt;0,G187&gt;=E187+F187),IF(AND(H187&lt;&gt;"",A187&lt;&gt;"",H187&gt;A187+Settings!$C$7),"Paid late","Paid"),IF(G187&gt;0,"Partial",IF(AND(A187&lt;&gt;"",TODAY()&gt;A187+Settings!$C$7),"Unpaid","Due")))))</f>
        <v/>
      </c>
      <c r="L187" s="52" t="str">
        <f t="shared" si="10"/>
        <v/>
      </c>
      <c r="M187" s="47"/>
      <c r="N187" s="48" t="str">
        <f t="shared" si="11"/>
        <v/>
      </c>
      <c r="O187" s="48" t="str">
        <f>IF(B187="","",COUNTIF($B$7:B187,B187))</f>
        <v/>
      </c>
      <c r="P187" s="48" t="str">
        <f t="shared" si="12"/>
        <v/>
      </c>
      <c r="Q187" s="48" t="str">
        <f t="shared" si="13"/>
        <v/>
      </c>
      <c r="R187" s="48" t="str">
        <f t="shared" si="14"/>
        <v/>
      </c>
    </row>
    <row r="188" spans="1:18" ht="16" x14ac:dyDescent="0.2">
      <c r="A188" s="50"/>
      <c r="B188" s="47"/>
      <c r="C188" s="48" t="str">
        <f>IF(B188="","",IFERROR(INDEX(Tenants!$B$6:$B$35,MATCH(B188,Tenants!$A$6:$A$35,0)),"Unit not found"))</f>
        <v/>
      </c>
      <c r="D188" s="48" t="str">
        <f>IF(B188="","",IF(J188="Y","(vacant)",IFERROR(INDEX(Tenants!$C$6:$C$35,MATCH(B188,Tenants!$A$6:$A$35,0)),"")))</f>
        <v/>
      </c>
      <c r="E188" s="56"/>
      <c r="F188" s="56"/>
      <c r="G188" s="56"/>
      <c r="H188" s="50"/>
      <c r="I188" s="47"/>
      <c r="J188" s="47"/>
      <c r="K188" s="48" t="str">
        <f ca="1">IF(B188="","",IF(UPPER(J188)="Y","Vacant",IF(AND(G188&gt;0,G188&gt;=E188+F188),IF(AND(H188&lt;&gt;"",A188&lt;&gt;"",H188&gt;A188+Settings!$C$7),"Paid late","Paid"),IF(G188&gt;0,"Partial",IF(AND(A188&lt;&gt;"",TODAY()&gt;A188+Settings!$C$7),"Unpaid","Due")))))</f>
        <v/>
      </c>
      <c r="L188" s="52" t="str">
        <f t="shared" si="10"/>
        <v/>
      </c>
      <c r="M188" s="47"/>
      <c r="N188" s="48" t="str">
        <f t="shared" si="11"/>
        <v/>
      </c>
      <c r="O188" s="48" t="str">
        <f>IF(B188="","",COUNTIF($B$7:B188,B188))</f>
        <v/>
      </c>
      <c r="P188" s="48" t="str">
        <f t="shared" si="12"/>
        <v/>
      </c>
      <c r="Q188" s="48" t="str">
        <f t="shared" si="13"/>
        <v/>
      </c>
      <c r="R188" s="48" t="str">
        <f t="shared" si="14"/>
        <v/>
      </c>
    </row>
    <row r="189" spans="1:18" ht="16" x14ac:dyDescent="0.2">
      <c r="A189" s="50"/>
      <c r="B189" s="47"/>
      <c r="C189" s="48" t="str">
        <f>IF(B189="","",IFERROR(INDEX(Tenants!$B$6:$B$35,MATCH(B189,Tenants!$A$6:$A$35,0)),"Unit not found"))</f>
        <v/>
      </c>
      <c r="D189" s="48" t="str">
        <f>IF(B189="","",IF(J189="Y","(vacant)",IFERROR(INDEX(Tenants!$C$6:$C$35,MATCH(B189,Tenants!$A$6:$A$35,0)),"")))</f>
        <v/>
      </c>
      <c r="E189" s="56"/>
      <c r="F189" s="56"/>
      <c r="G189" s="56"/>
      <c r="H189" s="50"/>
      <c r="I189" s="47"/>
      <c r="J189" s="47"/>
      <c r="K189" s="48" t="str">
        <f ca="1">IF(B189="","",IF(UPPER(J189)="Y","Vacant",IF(AND(G189&gt;0,G189&gt;=E189+F189),IF(AND(H189&lt;&gt;"",A189&lt;&gt;"",H189&gt;A189+Settings!$C$7),"Paid late","Paid"),IF(G189&gt;0,"Partial",IF(AND(A189&lt;&gt;"",TODAY()&gt;A189+Settings!$C$7),"Unpaid","Due")))))</f>
        <v/>
      </c>
      <c r="L189" s="52" t="str">
        <f t="shared" si="10"/>
        <v/>
      </c>
      <c r="M189" s="47"/>
      <c r="N189" s="48" t="str">
        <f t="shared" si="11"/>
        <v/>
      </c>
      <c r="O189" s="48" t="str">
        <f>IF(B189="","",COUNTIF($B$7:B189,B189))</f>
        <v/>
      </c>
      <c r="P189" s="48" t="str">
        <f t="shared" si="12"/>
        <v/>
      </c>
      <c r="Q189" s="48" t="str">
        <f t="shared" si="13"/>
        <v/>
      </c>
      <c r="R189" s="48" t="str">
        <f t="shared" si="14"/>
        <v/>
      </c>
    </row>
    <row r="190" spans="1:18" ht="16" x14ac:dyDescent="0.2">
      <c r="A190" s="50"/>
      <c r="B190" s="47"/>
      <c r="C190" s="48" t="str">
        <f>IF(B190="","",IFERROR(INDEX(Tenants!$B$6:$B$35,MATCH(B190,Tenants!$A$6:$A$35,0)),"Unit not found"))</f>
        <v/>
      </c>
      <c r="D190" s="48" t="str">
        <f>IF(B190="","",IF(J190="Y","(vacant)",IFERROR(INDEX(Tenants!$C$6:$C$35,MATCH(B190,Tenants!$A$6:$A$35,0)),"")))</f>
        <v/>
      </c>
      <c r="E190" s="56"/>
      <c r="F190" s="56"/>
      <c r="G190" s="56"/>
      <c r="H190" s="50"/>
      <c r="I190" s="47"/>
      <c r="J190" s="47"/>
      <c r="K190" s="48" t="str">
        <f ca="1">IF(B190="","",IF(UPPER(J190)="Y","Vacant",IF(AND(G190&gt;0,G190&gt;=E190+F190),IF(AND(H190&lt;&gt;"",A190&lt;&gt;"",H190&gt;A190+Settings!$C$7),"Paid late","Paid"),IF(G190&gt;0,"Partial",IF(AND(A190&lt;&gt;"",TODAY()&gt;A190+Settings!$C$7),"Unpaid","Due")))))</f>
        <v/>
      </c>
      <c r="L190" s="52" t="str">
        <f t="shared" si="10"/>
        <v/>
      </c>
      <c r="M190" s="47"/>
      <c r="N190" s="48" t="str">
        <f t="shared" si="11"/>
        <v/>
      </c>
      <c r="O190" s="48" t="str">
        <f>IF(B190="","",COUNTIF($B$7:B190,B190))</f>
        <v/>
      </c>
      <c r="P190" s="48" t="str">
        <f t="shared" si="12"/>
        <v/>
      </c>
      <c r="Q190" s="48" t="str">
        <f t="shared" si="13"/>
        <v/>
      </c>
      <c r="R190" s="48" t="str">
        <f t="shared" si="14"/>
        <v/>
      </c>
    </row>
    <row r="191" spans="1:18" ht="16" x14ac:dyDescent="0.2">
      <c r="A191" s="50"/>
      <c r="B191" s="47"/>
      <c r="C191" s="48" t="str">
        <f>IF(B191="","",IFERROR(INDEX(Tenants!$B$6:$B$35,MATCH(B191,Tenants!$A$6:$A$35,0)),"Unit not found"))</f>
        <v/>
      </c>
      <c r="D191" s="48" t="str">
        <f>IF(B191="","",IF(J191="Y","(vacant)",IFERROR(INDEX(Tenants!$C$6:$C$35,MATCH(B191,Tenants!$A$6:$A$35,0)),"")))</f>
        <v/>
      </c>
      <c r="E191" s="56"/>
      <c r="F191" s="56"/>
      <c r="G191" s="56"/>
      <c r="H191" s="50"/>
      <c r="I191" s="47"/>
      <c r="J191" s="47"/>
      <c r="K191" s="48" t="str">
        <f ca="1">IF(B191="","",IF(UPPER(J191)="Y","Vacant",IF(AND(G191&gt;0,G191&gt;=E191+F191),IF(AND(H191&lt;&gt;"",A191&lt;&gt;"",H191&gt;A191+Settings!$C$7),"Paid late","Paid"),IF(G191&gt;0,"Partial",IF(AND(A191&lt;&gt;"",TODAY()&gt;A191+Settings!$C$7),"Unpaid","Due")))))</f>
        <v/>
      </c>
      <c r="L191" s="52" t="str">
        <f t="shared" si="10"/>
        <v/>
      </c>
      <c r="M191" s="47"/>
      <c r="N191" s="48" t="str">
        <f t="shared" si="11"/>
        <v/>
      </c>
      <c r="O191" s="48" t="str">
        <f>IF(B191="","",COUNTIF($B$7:B191,B191))</f>
        <v/>
      </c>
      <c r="P191" s="48" t="str">
        <f t="shared" si="12"/>
        <v/>
      </c>
      <c r="Q191" s="48" t="str">
        <f t="shared" si="13"/>
        <v/>
      </c>
      <c r="R191" s="48" t="str">
        <f t="shared" si="14"/>
        <v/>
      </c>
    </row>
    <row r="192" spans="1:18" ht="16" x14ac:dyDescent="0.2">
      <c r="A192" s="50"/>
      <c r="B192" s="47"/>
      <c r="C192" s="48" t="str">
        <f>IF(B192="","",IFERROR(INDEX(Tenants!$B$6:$B$35,MATCH(B192,Tenants!$A$6:$A$35,0)),"Unit not found"))</f>
        <v/>
      </c>
      <c r="D192" s="48" t="str">
        <f>IF(B192="","",IF(J192="Y","(vacant)",IFERROR(INDEX(Tenants!$C$6:$C$35,MATCH(B192,Tenants!$A$6:$A$35,0)),"")))</f>
        <v/>
      </c>
      <c r="E192" s="56"/>
      <c r="F192" s="56"/>
      <c r="G192" s="56"/>
      <c r="H192" s="50"/>
      <c r="I192" s="47"/>
      <c r="J192" s="47"/>
      <c r="K192" s="48" t="str">
        <f ca="1">IF(B192="","",IF(UPPER(J192)="Y","Vacant",IF(AND(G192&gt;0,G192&gt;=E192+F192),IF(AND(H192&lt;&gt;"",A192&lt;&gt;"",H192&gt;A192+Settings!$C$7),"Paid late","Paid"),IF(G192&gt;0,"Partial",IF(AND(A192&lt;&gt;"",TODAY()&gt;A192+Settings!$C$7),"Unpaid","Due")))))</f>
        <v/>
      </c>
      <c r="L192" s="52" t="str">
        <f t="shared" si="10"/>
        <v/>
      </c>
      <c r="M192" s="47"/>
      <c r="N192" s="48" t="str">
        <f t="shared" si="11"/>
        <v/>
      </c>
      <c r="O192" s="48" t="str">
        <f>IF(B192="","",COUNTIF($B$7:B192,B192))</f>
        <v/>
      </c>
      <c r="P192" s="48" t="str">
        <f t="shared" si="12"/>
        <v/>
      </c>
      <c r="Q192" s="48" t="str">
        <f t="shared" si="13"/>
        <v/>
      </c>
      <c r="R192" s="48" t="str">
        <f t="shared" si="14"/>
        <v/>
      </c>
    </row>
    <row r="193" spans="1:18" ht="16" x14ac:dyDescent="0.2">
      <c r="A193" s="50"/>
      <c r="B193" s="47"/>
      <c r="C193" s="48" t="str">
        <f>IF(B193="","",IFERROR(INDEX(Tenants!$B$6:$B$35,MATCH(B193,Tenants!$A$6:$A$35,0)),"Unit not found"))</f>
        <v/>
      </c>
      <c r="D193" s="48" t="str">
        <f>IF(B193="","",IF(J193="Y","(vacant)",IFERROR(INDEX(Tenants!$C$6:$C$35,MATCH(B193,Tenants!$A$6:$A$35,0)),"")))</f>
        <v/>
      </c>
      <c r="E193" s="56"/>
      <c r="F193" s="56"/>
      <c r="G193" s="56"/>
      <c r="H193" s="50"/>
      <c r="I193" s="47"/>
      <c r="J193" s="47"/>
      <c r="K193" s="48" t="str">
        <f ca="1">IF(B193="","",IF(UPPER(J193)="Y","Vacant",IF(AND(G193&gt;0,G193&gt;=E193+F193),IF(AND(H193&lt;&gt;"",A193&lt;&gt;"",H193&gt;A193+Settings!$C$7),"Paid late","Paid"),IF(G193&gt;0,"Partial",IF(AND(A193&lt;&gt;"",TODAY()&gt;A193+Settings!$C$7),"Unpaid","Due")))))</f>
        <v/>
      </c>
      <c r="L193" s="52" t="str">
        <f t="shared" si="10"/>
        <v/>
      </c>
      <c r="M193" s="47"/>
      <c r="N193" s="48" t="str">
        <f t="shared" si="11"/>
        <v/>
      </c>
      <c r="O193" s="48" t="str">
        <f>IF(B193="","",COUNTIF($B$7:B193,B193))</f>
        <v/>
      </c>
      <c r="P193" s="48" t="str">
        <f t="shared" si="12"/>
        <v/>
      </c>
      <c r="Q193" s="48" t="str">
        <f t="shared" si="13"/>
        <v/>
      </c>
      <c r="R193" s="48" t="str">
        <f t="shared" si="14"/>
        <v/>
      </c>
    </row>
    <row r="194" spans="1:18" ht="16" x14ac:dyDescent="0.2">
      <c r="A194" s="50"/>
      <c r="B194" s="47"/>
      <c r="C194" s="48" t="str">
        <f>IF(B194="","",IFERROR(INDEX(Tenants!$B$6:$B$35,MATCH(B194,Tenants!$A$6:$A$35,0)),"Unit not found"))</f>
        <v/>
      </c>
      <c r="D194" s="48" t="str">
        <f>IF(B194="","",IF(J194="Y","(vacant)",IFERROR(INDEX(Tenants!$C$6:$C$35,MATCH(B194,Tenants!$A$6:$A$35,0)),"")))</f>
        <v/>
      </c>
      <c r="E194" s="56"/>
      <c r="F194" s="56"/>
      <c r="G194" s="56"/>
      <c r="H194" s="50"/>
      <c r="I194" s="47"/>
      <c r="J194" s="47"/>
      <c r="K194" s="48" t="str">
        <f ca="1">IF(B194="","",IF(UPPER(J194)="Y","Vacant",IF(AND(G194&gt;0,G194&gt;=E194+F194),IF(AND(H194&lt;&gt;"",A194&lt;&gt;"",H194&gt;A194+Settings!$C$7),"Paid late","Paid"),IF(G194&gt;0,"Partial",IF(AND(A194&lt;&gt;"",TODAY()&gt;A194+Settings!$C$7),"Unpaid","Due")))))</f>
        <v/>
      </c>
      <c r="L194" s="52" t="str">
        <f t="shared" si="10"/>
        <v/>
      </c>
      <c r="M194" s="47"/>
      <c r="N194" s="48" t="str">
        <f t="shared" si="11"/>
        <v/>
      </c>
      <c r="O194" s="48" t="str">
        <f>IF(B194="","",COUNTIF($B$7:B194,B194))</f>
        <v/>
      </c>
      <c r="P194" s="48" t="str">
        <f t="shared" si="12"/>
        <v/>
      </c>
      <c r="Q194" s="48" t="str">
        <f t="shared" si="13"/>
        <v/>
      </c>
      <c r="R194" s="48" t="str">
        <f t="shared" si="14"/>
        <v/>
      </c>
    </row>
    <row r="195" spans="1:18" ht="16" x14ac:dyDescent="0.2">
      <c r="A195" s="50"/>
      <c r="B195" s="47"/>
      <c r="C195" s="48" t="str">
        <f>IF(B195="","",IFERROR(INDEX(Tenants!$B$6:$B$35,MATCH(B195,Tenants!$A$6:$A$35,0)),"Unit not found"))</f>
        <v/>
      </c>
      <c r="D195" s="48" t="str">
        <f>IF(B195="","",IF(J195="Y","(vacant)",IFERROR(INDEX(Tenants!$C$6:$C$35,MATCH(B195,Tenants!$A$6:$A$35,0)),"")))</f>
        <v/>
      </c>
      <c r="E195" s="56"/>
      <c r="F195" s="56"/>
      <c r="G195" s="56"/>
      <c r="H195" s="50"/>
      <c r="I195" s="47"/>
      <c r="J195" s="47"/>
      <c r="K195" s="48" t="str">
        <f ca="1">IF(B195="","",IF(UPPER(J195)="Y","Vacant",IF(AND(G195&gt;0,G195&gt;=E195+F195),IF(AND(H195&lt;&gt;"",A195&lt;&gt;"",H195&gt;A195+Settings!$C$7),"Paid late","Paid"),IF(G195&gt;0,"Partial",IF(AND(A195&lt;&gt;"",TODAY()&gt;A195+Settings!$C$7),"Unpaid","Due")))))</f>
        <v/>
      </c>
      <c r="L195" s="52" t="str">
        <f t="shared" si="10"/>
        <v/>
      </c>
      <c r="M195" s="47"/>
      <c r="N195" s="48" t="str">
        <f t="shared" si="11"/>
        <v/>
      </c>
      <c r="O195" s="48" t="str">
        <f>IF(B195="","",COUNTIF($B$7:B195,B195))</f>
        <v/>
      </c>
      <c r="P195" s="48" t="str">
        <f t="shared" si="12"/>
        <v/>
      </c>
      <c r="Q195" s="48" t="str">
        <f t="shared" si="13"/>
        <v/>
      </c>
      <c r="R195" s="48" t="str">
        <f t="shared" si="14"/>
        <v/>
      </c>
    </row>
    <row r="196" spans="1:18" ht="16" x14ac:dyDescent="0.2">
      <c r="A196" s="50"/>
      <c r="B196" s="47"/>
      <c r="C196" s="48" t="str">
        <f>IF(B196="","",IFERROR(INDEX(Tenants!$B$6:$B$35,MATCH(B196,Tenants!$A$6:$A$35,0)),"Unit not found"))</f>
        <v/>
      </c>
      <c r="D196" s="48" t="str">
        <f>IF(B196="","",IF(J196="Y","(vacant)",IFERROR(INDEX(Tenants!$C$6:$C$35,MATCH(B196,Tenants!$A$6:$A$35,0)),"")))</f>
        <v/>
      </c>
      <c r="E196" s="56"/>
      <c r="F196" s="56"/>
      <c r="G196" s="56"/>
      <c r="H196" s="50"/>
      <c r="I196" s="47"/>
      <c r="J196" s="47"/>
      <c r="K196" s="48" t="str">
        <f ca="1">IF(B196="","",IF(UPPER(J196)="Y","Vacant",IF(AND(G196&gt;0,G196&gt;=E196+F196),IF(AND(H196&lt;&gt;"",A196&lt;&gt;"",H196&gt;A196+Settings!$C$7),"Paid late","Paid"),IF(G196&gt;0,"Partial",IF(AND(A196&lt;&gt;"",TODAY()&gt;A196+Settings!$C$7),"Unpaid","Due")))))</f>
        <v/>
      </c>
      <c r="L196" s="52" t="str">
        <f t="shared" si="10"/>
        <v/>
      </c>
      <c r="M196" s="47"/>
      <c r="N196" s="48" t="str">
        <f t="shared" si="11"/>
        <v/>
      </c>
      <c r="O196" s="48" t="str">
        <f>IF(B196="","",COUNTIF($B$7:B196,B196))</f>
        <v/>
      </c>
      <c r="P196" s="48" t="str">
        <f t="shared" si="12"/>
        <v/>
      </c>
      <c r="Q196" s="48" t="str">
        <f t="shared" si="13"/>
        <v/>
      </c>
      <c r="R196" s="48" t="str">
        <f t="shared" si="14"/>
        <v/>
      </c>
    </row>
    <row r="197" spans="1:18" ht="16" x14ac:dyDescent="0.2">
      <c r="A197" s="50"/>
      <c r="B197" s="47"/>
      <c r="C197" s="48" t="str">
        <f>IF(B197="","",IFERROR(INDEX(Tenants!$B$6:$B$35,MATCH(B197,Tenants!$A$6:$A$35,0)),"Unit not found"))</f>
        <v/>
      </c>
      <c r="D197" s="48" t="str">
        <f>IF(B197="","",IF(J197="Y","(vacant)",IFERROR(INDEX(Tenants!$C$6:$C$35,MATCH(B197,Tenants!$A$6:$A$35,0)),"")))</f>
        <v/>
      </c>
      <c r="E197" s="56"/>
      <c r="F197" s="56"/>
      <c r="G197" s="56"/>
      <c r="H197" s="50"/>
      <c r="I197" s="47"/>
      <c r="J197" s="47"/>
      <c r="K197" s="48" t="str">
        <f ca="1">IF(B197="","",IF(UPPER(J197)="Y","Vacant",IF(AND(G197&gt;0,G197&gt;=E197+F197),IF(AND(H197&lt;&gt;"",A197&lt;&gt;"",H197&gt;A197+Settings!$C$7),"Paid late","Paid"),IF(G197&gt;0,"Partial",IF(AND(A197&lt;&gt;"",TODAY()&gt;A197+Settings!$C$7),"Unpaid","Due")))))</f>
        <v/>
      </c>
      <c r="L197" s="52" t="str">
        <f t="shared" si="10"/>
        <v/>
      </c>
      <c r="M197" s="47"/>
      <c r="N197" s="48" t="str">
        <f t="shared" si="11"/>
        <v/>
      </c>
      <c r="O197" s="48" t="str">
        <f>IF(B197="","",COUNTIF($B$7:B197,B197))</f>
        <v/>
      </c>
      <c r="P197" s="48" t="str">
        <f t="shared" si="12"/>
        <v/>
      </c>
      <c r="Q197" s="48" t="str">
        <f t="shared" si="13"/>
        <v/>
      </c>
      <c r="R197" s="48" t="str">
        <f t="shared" si="14"/>
        <v/>
      </c>
    </row>
    <row r="198" spans="1:18" ht="16" x14ac:dyDescent="0.2">
      <c r="A198" s="50"/>
      <c r="B198" s="47"/>
      <c r="C198" s="48" t="str">
        <f>IF(B198="","",IFERROR(INDEX(Tenants!$B$6:$B$35,MATCH(B198,Tenants!$A$6:$A$35,0)),"Unit not found"))</f>
        <v/>
      </c>
      <c r="D198" s="48" t="str">
        <f>IF(B198="","",IF(J198="Y","(vacant)",IFERROR(INDEX(Tenants!$C$6:$C$35,MATCH(B198,Tenants!$A$6:$A$35,0)),"")))</f>
        <v/>
      </c>
      <c r="E198" s="56"/>
      <c r="F198" s="56"/>
      <c r="G198" s="56"/>
      <c r="H198" s="50"/>
      <c r="I198" s="47"/>
      <c r="J198" s="47"/>
      <c r="K198" s="48" t="str">
        <f ca="1">IF(B198="","",IF(UPPER(J198)="Y","Vacant",IF(AND(G198&gt;0,G198&gt;=E198+F198),IF(AND(H198&lt;&gt;"",A198&lt;&gt;"",H198&gt;A198+Settings!$C$7),"Paid late","Paid"),IF(G198&gt;0,"Partial",IF(AND(A198&lt;&gt;"",TODAY()&gt;A198+Settings!$C$7),"Unpaid","Due")))))</f>
        <v/>
      </c>
      <c r="L198" s="52" t="str">
        <f t="shared" si="10"/>
        <v/>
      </c>
      <c r="M198" s="47"/>
      <c r="N198" s="48" t="str">
        <f t="shared" si="11"/>
        <v/>
      </c>
      <c r="O198" s="48" t="str">
        <f>IF(B198="","",COUNTIF($B$7:B198,B198))</f>
        <v/>
      </c>
      <c r="P198" s="48" t="str">
        <f t="shared" si="12"/>
        <v/>
      </c>
      <c r="Q198" s="48" t="str">
        <f t="shared" si="13"/>
        <v/>
      </c>
      <c r="R198" s="48" t="str">
        <f t="shared" si="14"/>
        <v/>
      </c>
    </row>
    <row r="199" spans="1:18" ht="16" x14ac:dyDescent="0.2">
      <c r="A199" s="50"/>
      <c r="B199" s="47"/>
      <c r="C199" s="48" t="str">
        <f>IF(B199="","",IFERROR(INDEX(Tenants!$B$6:$B$35,MATCH(B199,Tenants!$A$6:$A$35,0)),"Unit not found"))</f>
        <v/>
      </c>
      <c r="D199" s="48" t="str">
        <f>IF(B199="","",IF(J199="Y","(vacant)",IFERROR(INDEX(Tenants!$C$6:$C$35,MATCH(B199,Tenants!$A$6:$A$35,0)),"")))</f>
        <v/>
      </c>
      <c r="E199" s="56"/>
      <c r="F199" s="56"/>
      <c r="G199" s="56"/>
      <c r="H199" s="50"/>
      <c r="I199" s="47"/>
      <c r="J199" s="47"/>
      <c r="K199" s="48" t="str">
        <f ca="1">IF(B199="","",IF(UPPER(J199)="Y","Vacant",IF(AND(G199&gt;0,G199&gt;=E199+F199),IF(AND(H199&lt;&gt;"",A199&lt;&gt;"",H199&gt;A199+Settings!$C$7),"Paid late","Paid"),IF(G199&gt;0,"Partial",IF(AND(A199&lt;&gt;"",TODAY()&gt;A199+Settings!$C$7),"Unpaid","Due")))))</f>
        <v/>
      </c>
      <c r="L199" s="52" t="str">
        <f t="shared" ref="L199:L262" si="15">IF(OR(B199="",UPPER(J199)="Y"),"",E199+F199-G199)</f>
        <v/>
      </c>
      <c r="M199" s="47"/>
      <c r="N199" s="48" t="str">
        <f t="shared" ref="N199:N262" si="16">IF(OR(B199="",G199=0,G199=""),"",YEAR(IF(H199="",A199,H199)))</f>
        <v/>
      </c>
      <c r="O199" s="48" t="str">
        <f>IF(B199="","",COUNTIF($B$7:B199,B199))</f>
        <v/>
      </c>
      <c r="P199" s="48" t="str">
        <f t="shared" ref="P199:P262" si="17">IF(B199="","",B199&amp;"|"&amp;O199)</f>
        <v/>
      </c>
      <c r="Q199" s="48" t="str">
        <f t="shared" ref="Q199:Q262" si="18">IF(OR(B199="",G199=0,G199=""),"",YEAR(IF(H199="",A199,H199))*100+MONTH(IF(H199="",A199,H199)))</f>
        <v/>
      </c>
      <c r="R199" s="48" t="str">
        <f t="shared" ref="R199:R262" si="19">IF(OR(B199="",A199=""),"",YEAR(A199))</f>
        <v/>
      </c>
    </row>
    <row r="200" spans="1:18" ht="16" x14ac:dyDescent="0.2">
      <c r="A200" s="50"/>
      <c r="B200" s="47"/>
      <c r="C200" s="48" t="str">
        <f>IF(B200="","",IFERROR(INDEX(Tenants!$B$6:$B$35,MATCH(B200,Tenants!$A$6:$A$35,0)),"Unit not found"))</f>
        <v/>
      </c>
      <c r="D200" s="48" t="str">
        <f>IF(B200="","",IF(J200="Y","(vacant)",IFERROR(INDEX(Tenants!$C$6:$C$35,MATCH(B200,Tenants!$A$6:$A$35,0)),"")))</f>
        <v/>
      </c>
      <c r="E200" s="56"/>
      <c r="F200" s="56"/>
      <c r="G200" s="56"/>
      <c r="H200" s="50"/>
      <c r="I200" s="47"/>
      <c r="J200" s="47"/>
      <c r="K200" s="48" t="str">
        <f ca="1">IF(B200="","",IF(UPPER(J200)="Y","Vacant",IF(AND(G200&gt;0,G200&gt;=E200+F200),IF(AND(H200&lt;&gt;"",A200&lt;&gt;"",H200&gt;A200+Settings!$C$7),"Paid late","Paid"),IF(G200&gt;0,"Partial",IF(AND(A200&lt;&gt;"",TODAY()&gt;A200+Settings!$C$7),"Unpaid","Due")))))</f>
        <v/>
      </c>
      <c r="L200" s="52" t="str">
        <f t="shared" si="15"/>
        <v/>
      </c>
      <c r="M200" s="47"/>
      <c r="N200" s="48" t="str">
        <f t="shared" si="16"/>
        <v/>
      </c>
      <c r="O200" s="48" t="str">
        <f>IF(B200="","",COUNTIF($B$7:B200,B200))</f>
        <v/>
      </c>
      <c r="P200" s="48" t="str">
        <f t="shared" si="17"/>
        <v/>
      </c>
      <c r="Q200" s="48" t="str">
        <f t="shared" si="18"/>
        <v/>
      </c>
      <c r="R200" s="48" t="str">
        <f t="shared" si="19"/>
        <v/>
      </c>
    </row>
    <row r="201" spans="1:18" ht="16" x14ac:dyDescent="0.2">
      <c r="A201" s="50"/>
      <c r="B201" s="47"/>
      <c r="C201" s="48" t="str">
        <f>IF(B201="","",IFERROR(INDEX(Tenants!$B$6:$B$35,MATCH(B201,Tenants!$A$6:$A$35,0)),"Unit not found"))</f>
        <v/>
      </c>
      <c r="D201" s="48" t="str">
        <f>IF(B201="","",IF(J201="Y","(vacant)",IFERROR(INDEX(Tenants!$C$6:$C$35,MATCH(B201,Tenants!$A$6:$A$35,0)),"")))</f>
        <v/>
      </c>
      <c r="E201" s="56"/>
      <c r="F201" s="56"/>
      <c r="G201" s="56"/>
      <c r="H201" s="50"/>
      <c r="I201" s="47"/>
      <c r="J201" s="47"/>
      <c r="K201" s="48" t="str">
        <f ca="1">IF(B201="","",IF(UPPER(J201)="Y","Vacant",IF(AND(G201&gt;0,G201&gt;=E201+F201),IF(AND(H201&lt;&gt;"",A201&lt;&gt;"",H201&gt;A201+Settings!$C$7),"Paid late","Paid"),IF(G201&gt;0,"Partial",IF(AND(A201&lt;&gt;"",TODAY()&gt;A201+Settings!$C$7),"Unpaid","Due")))))</f>
        <v/>
      </c>
      <c r="L201" s="52" t="str">
        <f t="shared" si="15"/>
        <v/>
      </c>
      <c r="M201" s="47"/>
      <c r="N201" s="48" t="str">
        <f t="shared" si="16"/>
        <v/>
      </c>
      <c r="O201" s="48" t="str">
        <f>IF(B201="","",COUNTIF($B$7:B201,B201))</f>
        <v/>
      </c>
      <c r="P201" s="48" t="str">
        <f t="shared" si="17"/>
        <v/>
      </c>
      <c r="Q201" s="48" t="str">
        <f t="shared" si="18"/>
        <v/>
      </c>
      <c r="R201" s="48" t="str">
        <f t="shared" si="19"/>
        <v/>
      </c>
    </row>
    <row r="202" spans="1:18" ht="16" x14ac:dyDescent="0.2">
      <c r="A202" s="50"/>
      <c r="B202" s="47"/>
      <c r="C202" s="48" t="str">
        <f>IF(B202="","",IFERROR(INDEX(Tenants!$B$6:$B$35,MATCH(B202,Tenants!$A$6:$A$35,0)),"Unit not found"))</f>
        <v/>
      </c>
      <c r="D202" s="48" t="str">
        <f>IF(B202="","",IF(J202="Y","(vacant)",IFERROR(INDEX(Tenants!$C$6:$C$35,MATCH(B202,Tenants!$A$6:$A$35,0)),"")))</f>
        <v/>
      </c>
      <c r="E202" s="56"/>
      <c r="F202" s="56"/>
      <c r="G202" s="56"/>
      <c r="H202" s="50"/>
      <c r="I202" s="47"/>
      <c r="J202" s="47"/>
      <c r="K202" s="48" t="str">
        <f ca="1">IF(B202="","",IF(UPPER(J202)="Y","Vacant",IF(AND(G202&gt;0,G202&gt;=E202+F202),IF(AND(H202&lt;&gt;"",A202&lt;&gt;"",H202&gt;A202+Settings!$C$7),"Paid late","Paid"),IF(G202&gt;0,"Partial",IF(AND(A202&lt;&gt;"",TODAY()&gt;A202+Settings!$C$7),"Unpaid","Due")))))</f>
        <v/>
      </c>
      <c r="L202" s="52" t="str">
        <f t="shared" si="15"/>
        <v/>
      </c>
      <c r="M202" s="47"/>
      <c r="N202" s="48" t="str">
        <f t="shared" si="16"/>
        <v/>
      </c>
      <c r="O202" s="48" t="str">
        <f>IF(B202="","",COUNTIF($B$7:B202,B202))</f>
        <v/>
      </c>
      <c r="P202" s="48" t="str">
        <f t="shared" si="17"/>
        <v/>
      </c>
      <c r="Q202" s="48" t="str">
        <f t="shared" si="18"/>
        <v/>
      </c>
      <c r="R202" s="48" t="str">
        <f t="shared" si="19"/>
        <v/>
      </c>
    </row>
    <row r="203" spans="1:18" ht="16" x14ac:dyDescent="0.2">
      <c r="A203" s="50"/>
      <c r="B203" s="47"/>
      <c r="C203" s="48" t="str">
        <f>IF(B203="","",IFERROR(INDEX(Tenants!$B$6:$B$35,MATCH(B203,Tenants!$A$6:$A$35,0)),"Unit not found"))</f>
        <v/>
      </c>
      <c r="D203" s="48" t="str">
        <f>IF(B203="","",IF(J203="Y","(vacant)",IFERROR(INDEX(Tenants!$C$6:$C$35,MATCH(B203,Tenants!$A$6:$A$35,0)),"")))</f>
        <v/>
      </c>
      <c r="E203" s="56"/>
      <c r="F203" s="56"/>
      <c r="G203" s="56"/>
      <c r="H203" s="50"/>
      <c r="I203" s="47"/>
      <c r="J203" s="47"/>
      <c r="K203" s="48" t="str">
        <f ca="1">IF(B203="","",IF(UPPER(J203)="Y","Vacant",IF(AND(G203&gt;0,G203&gt;=E203+F203),IF(AND(H203&lt;&gt;"",A203&lt;&gt;"",H203&gt;A203+Settings!$C$7),"Paid late","Paid"),IF(G203&gt;0,"Partial",IF(AND(A203&lt;&gt;"",TODAY()&gt;A203+Settings!$C$7),"Unpaid","Due")))))</f>
        <v/>
      </c>
      <c r="L203" s="52" t="str">
        <f t="shared" si="15"/>
        <v/>
      </c>
      <c r="M203" s="47"/>
      <c r="N203" s="48" t="str">
        <f t="shared" si="16"/>
        <v/>
      </c>
      <c r="O203" s="48" t="str">
        <f>IF(B203="","",COUNTIF($B$7:B203,B203))</f>
        <v/>
      </c>
      <c r="P203" s="48" t="str">
        <f t="shared" si="17"/>
        <v/>
      </c>
      <c r="Q203" s="48" t="str">
        <f t="shared" si="18"/>
        <v/>
      </c>
      <c r="R203" s="48" t="str">
        <f t="shared" si="19"/>
        <v/>
      </c>
    </row>
    <row r="204" spans="1:18" ht="16" x14ac:dyDescent="0.2">
      <c r="A204" s="50"/>
      <c r="B204" s="47"/>
      <c r="C204" s="48" t="str">
        <f>IF(B204="","",IFERROR(INDEX(Tenants!$B$6:$B$35,MATCH(B204,Tenants!$A$6:$A$35,0)),"Unit not found"))</f>
        <v/>
      </c>
      <c r="D204" s="48" t="str">
        <f>IF(B204="","",IF(J204="Y","(vacant)",IFERROR(INDEX(Tenants!$C$6:$C$35,MATCH(B204,Tenants!$A$6:$A$35,0)),"")))</f>
        <v/>
      </c>
      <c r="E204" s="56"/>
      <c r="F204" s="56"/>
      <c r="G204" s="56"/>
      <c r="H204" s="50"/>
      <c r="I204" s="47"/>
      <c r="J204" s="47"/>
      <c r="K204" s="48" t="str">
        <f ca="1">IF(B204="","",IF(UPPER(J204)="Y","Vacant",IF(AND(G204&gt;0,G204&gt;=E204+F204),IF(AND(H204&lt;&gt;"",A204&lt;&gt;"",H204&gt;A204+Settings!$C$7),"Paid late","Paid"),IF(G204&gt;0,"Partial",IF(AND(A204&lt;&gt;"",TODAY()&gt;A204+Settings!$C$7),"Unpaid","Due")))))</f>
        <v/>
      </c>
      <c r="L204" s="52" t="str">
        <f t="shared" si="15"/>
        <v/>
      </c>
      <c r="M204" s="47"/>
      <c r="N204" s="48" t="str">
        <f t="shared" si="16"/>
        <v/>
      </c>
      <c r="O204" s="48" t="str">
        <f>IF(B204="","",COUNTIF($B$7:B204,B204))</f>
        <v/>
      </c>
      <c r="P204" s="48" t="str">
        <f t="shared" si="17"/>
        <v/>
      </c>
      <c r="Q204" s="48" t="str">
        <f t="shared" si="18"/>
        <v/>
      </c>
      <c r="R204" s="48" t="str">
        <f t="shared" si="19"/>
        <v/>
      </c>
    </row>
    <row r="205" spans="1:18" ht="16" x14ac:dyDescent="0.2">
      <c r="A205" s="50"/>
      <c r="B205" s="47"/>
      <c r="C205" s="48" t="str">
        <f>IF(B205="","",IFERROR(INDEX(Tenants!$B$6:$B$35,MATCH(B205,Tenants!$A$6:$A$35,0)),"Unit not found"))</f>
        <v/>
      </c>
      <c r="D205" s="48" t="str">
        <f>IF(B205="","",IF(J205="Y","(vacant)",IFERROR(INDEX(Tenants!$C$6:$C$35,MATCH(B205,Tenants!$A$6:$A$35,0)),"")))</f>
        <v/>
      </c>
      <c r="E205" s="56"/>
      <c r="F205" s="56"/>
      <c r="G205" s="56"/>
      <c r="H205" s="50"/>
      <c r="I205" s="47"/>
      <c r="J205" s="47"/>
      <c r="K205" s="48" t="str">
        <f ca="1">IF(B205="","",IF(UPPER(J205)="Y","Vacant",IF(AND(G205&gt;0,G205&gt;=E205+F205),IF(AND(H205&lt;&gt;"",A205&lt;&gt;"",H205&gt;A205+Settings!$C$7),"Paid late","Paid"),IF(G205&gt;0,"Partial",IF(AND(A205&lt;&gt;"",TODAY()&gt;A205+Settings!$C$7),"Unpaid","Due")))))</f>
        <v/>
      </c>
      <c r="L205" s="52" t="str">
        <f t="shared" si="15"/>
        <v/>
      </c>
      <c r="M205" s="47"/>
      <c r="N205" s="48" t="str">
        <f t="shared" si="16"/>
        <v/>
      </c>
      <c r="O205" s="48" t="str">
        <f>IF(B205="","",COUNTIF($B$7:B205,B205))</f>
        <v/>
      </c>
      <c r="P205" s="48" t="str">
        <f t="shared" si="17"/>
        <v/>
      </c>
      <c r="Q205" s="48" t="str">
        <f t="shared" si="18"/>
        <v/>
      </c>
      <c r="R205" s="48" t="str">
        <f t="shared" si="19"/>
        <v/>
      </c>
    </row>
    <row r="206" spans="1:18" ht="16" x14ac:dyDescent="0.2">
      <c r="A206" s="50"/>
      <c r="B206" s="47"/>
      <c r="C206" s="48" t="str">
        <f>IF(B206="","",IFERROR(INDEX(Tenants!$B$6:$B$35,MATCH(B206,Tenants!$A$6:$A$35,0)),"Unit not found"))</f>
        <v/>
      </c>
      <c r="D206" s="48" t="str">
        <f>IF(B206="","",IF(J206="Y","(vacant)",IFERROR(INDEX(Tenants!$C$6:$C$35,MATCH(B206,Tenants!$A$6:$A$35,0)),"")))</f>
        <v/>
      </c>
      <c r="E206" s="56"/>
      <c r="F206" s="56"/>
      <c r="G206" s="56"/>
      <c r="H206" s="50"/>
      <c r="I206" s="47"/>
      <c r="J206" s="47"/>
      <c r="K206" s="48" t="str">
        <f ca="1">IF(B206="","",IF(UPPER(J206)="Y","Vacant",IF(AND(G206&gt;0,G206&gt;=E206+F206),IF(AND(H206&lt;&gt;"",A206&lt;&gt;"",H206&gt;A206+Settings!$C$7),"Paid late","Paid"),IF(G206&gt;0,"Partial",IF(AND(A206&lt;&gt;"",TODAY()&gt;A206+Settings!$C$7),"Unpaid","Due")))))</f>
        <v/>
      </c>
      <c r="L206" s="52" t="str">
        <f t="shared" si="15"/>
        <v/>
      </c>
      <c r="M206" s="47"/>
      <c r="N206" s="48" t="str">
        <f t="shared" si="16"/>
        <v/>
      </c>
      <c r="O206" s="48" t="str">
        <f>IF(B206="","",COUNTIF($B$7:B206,B206))</f>
        <v/>
      </c>
      <c r="P206" s="48" t="str">
        <f t="shared" si="17"/>
        <v/>
      </c>
      <c r="Q206" s="48" t="str">
        <f t="shared" si="18"/>
        <v/>
      </c>
      <c r="R206" s="48" t="str">
        <f t="shared" si="19"/>
        <v/>
      </c>
    </row>
    <row r="207" spans="1:18" ht="16" x14ac:dyDescent="0.2">
      <c r="A207" s="50"/>
      <c r="B207" s="47"/>
      <c r="C207" s="48" t="str">
        <f>IF(B207="","",IFERROR(INDEX(Tenants!$B$6:$B$35,MATCH(B207,Tenants!$A$6:$A$35,0)),"Unit not found"))</f>
        <v/>
      </c>
      <c r="D207" s="48" t="str">
        <f>IF(B207="","",IF(J207="Y","(vacant)",IFERROR(INDEX(Tenants!$C$6:$C$35,MATCH(B207,Tenants!$A$6:$A$35,0)),"")))</f>
        <v/>
      </c>
      <c r="E207" s="56"/>
      <c r="F207" s="56"/>
      <c r="G207" s="56"/>
      <c r="H207" s="50"/>
      <c r="I207" s="47"/>
      <c r="J207" s="47"/>
      <c r="K207" s="48" t="str">
        <f ca="1">IF(B207="","",IF(UPPER(J207)="Y","Vacant",IF(AND(G207&gt;0,G207&gt;=E207+F207),IF(AND(H207&lt;&gt;"",A207&lt;&gt;"",H207&gt;A207+Settings!$C$7),"Paid late","Paid"),IF(G207&gt;0,"Partial",IF(AND(A207&lt;&gt;"",TODAY()&gt;A207+Settings!$C$7),"Unpaid","Due")))))</f>
        <v/>
      </c>
      <c r="L207" s="52" t="str">
        <f t="shared" si="15"/>
        <v/>
      </c>
      <c r="M207" s="47"/>
      <c r="N207" s="48" t="str">
        <f t="shared" si="16"/>
        <v/>
      </c>
      <c r="O207" s="48" t="str">
        <f>IF(B207="","",COUNTIF($B$7:B207,B207))</f>
        <v/>
      </c>
      <c r="P207" s="48" t="str">
        <f t="shared" si="17"/>
        <v/>
      </c>
      <c r="Q207" s="48" t="str">
        <f t="shared" si="18"/>
        <v/>
      </c>
      <c r="R207" s="48" t="str">
        <f t="shared" si="19"/>
        <v/>
      </c>
    </row>
    <row r="208" spans="1:18" ht="16" x14ac:dyDescent="0.2">
      <c r="A208" s="50"/>
      <c r="B208" s="47"/>
      <c r="C208" s="48" t="str">
        <f>IF(B208="","",IFERROR(INDEX(Tenants!$B$6:$B$35,MATCH(B208,Tenants!$A$6:$A$35,0)),"Unit not found"))</f>
        <v/>
      </c>
      <c r="D208" s="48" t="str">
        <f>IF(B208="","",IF(J208="Y","(vacant)",IFERROR(INDEX(Tenants!$C$6:$C$35,MATCH(B208,Tenants!$A$6:$A$35,0)),"")))</f>
        <v/>
      </c>
      <c r="E208" s="56"/>
      <c r="F208" s="56"/>
      <c r="G208" s="56"/>
      <c r="H208" s="50"/>
      <c r="I208" s="47"/>
      <c r="J208" s="47"/>
      <c r="K208" s="48" t="str">
        <f ca="1">IF(B208="","",IF(UPPER(J208)="Y","Vacant",IF(AND(G208&gt;0,G208&gt;=E208+F208),IF(AND(H208&lt;&gt;"",A208&lt;&gt;"",H208&gt;A208+Settings!$C$7),"Paid late","Paid"),IF(G208&gt;0,"Partial",IF(AND(A208&lt;&gt;"",TODAY()&gt;A208+Settings!$C$7),"Unpaid","Due")))))</f>
        <v/>
      </c>
      <c r="L208" s="52" t="str">
        <f t="shared" si="15"/>
        <v/>
      </c>
      <c r="M208" s="47"/>
      <c r="N208" s="48" t="str">
        <f t="shared" si="16"/>
        <v/>
      </c>
      <c r="O208" s="48" t="str">
        <f>IF(B208="","",COUNTIF($B$7:B208,B208))</f>
        <v/>
      </c>
      <c r="P208" s="48" t="str">
        <f t="shared" si="17"/>
        <v/>
      </c>
      <c r="Q208" s="48" t="str">
        <f t="shared" si="18"/>
        <v/>
      </c>
      <c r="R208" s="48" t="str">
        <f t="shared" si="19"/>
        <v/>
      </c>
    </row>
    <row r="209" spans="1:18" ht="16" x14ac:dyDescent="0.2">
      <c r="A209" s="50"/>
      <c r="B209" s="47"/>
      <c r="C209" s="48" t="str">
        <f>IF(B209="","",IFERROR(INDEX(Tenants!$B$6:$B$35,MATCH(B209,Tenants!$A$6:$A$35,0)),"Unit not found"))</f>
        <v/>
      </c>
      <c r="D209" s="48" t="str">
        <f>IF(B209="","",IF(J209="Y","(vacant)",IFERROR(INDEX(Tenants!$C$6:$C$35,MATCH(B209,Tenants!$A$6:$A$35,0)),"")))</f>
        <v/>
      </c>
      <c r="E209" s="56"/>
      <c r="F209" s="56"/>
      <c r="G209" s="56"/>
      <c r="H209" s="50"/>
      <c r="I209" s="47"/>
      <c r="J209" s="47"/>
      <c r="K209" s="48" t="str">
        <f ca="1">IF(B209="","",IF(UPPER(J209)="Y","Vacant",IF(AND(G209&gt;0,G209&gt;=E209+F209),IF(AND(H209&lt;&gt;"",A209&lt;&gt;"",H209&gt;A209+Settings!$C$7),"Paid late","Paid"),IF(G209&gt;0,"Partial",IF(AND(A209&lt;&gt;"",TODAY()&gt;A209+Settings!$C$7),"Unpaid","Due")))))</f>
        <v/>
      </c>
      <c r="L209" s="52" t="str">
        <f t="shared" si="15"/>
        <v/>
      </c>
      <c r="M209" s="47"/>
      <c r="N209" s="48" t="str">
        <f t="shared" si="16"/>
        <v/>
      </c>
      <c r="O209" s="48" t="str">
        <f>IF(B209="","",COUNTIF($B$7:B209,B209))</f>
        <v/>
      </c>
      <c r="P209" s="48" t="str">
        <f t="shared" si="17"/>
        <v/>
      </c>
      <c r="Q209" s="48" t="str">
        <f t="shared" si="18"/>
        <v/>
      </c>
      <c r="R209" s="48" t="str">
        <f t="shared" si="19"/>
        <v/>
      </c>
    </row>
    <row r="210" spans="1:18" ht="16" x14ac:dyDescent="0.2">
      <c r="A210" s="50"/>
      <c r="B210" s="47"/>
      <c r="C210" s="48" t="str">
        <f>IF(B210="","",IFERROR(INDEX(Tenants!$B$6:$B$35,MATCH(B210,Tenants!$A$6:$A$35,0)),"Unit not found"))</f>
        <v/>
      </c>
      <c r="D210" s="48" t="str">
        <f>IF(B210="","",IF(J210="Y","(vacant)",IFERROR(INDEX(Tenants!$C$6:$C$35,MATCH(B210,Tenants!$A$6:$A$35,0)),"")))</f>
        <v/>
      </c>
      <c r="E210" s="56"/>
      <c r="F210" s="56"/>
      <c r="G210" s="56"/>
      <c r="H210" s="50"/>
      <c r="I210" s="47"/>
      <c r="J210" s="47"/>
      <c r="K210" s="48" t="str">
        <f ca="1">IF(B210="","",IF(UPPER(J210)="Y","Vacant",IF(AND(G210&gt;0,G210&gt;=E210+F210),IF(AND(H210&lt;&gt;"",A210&lt;&gt;"",H210&gt;A210+Settings!$C$7),"Paid late","Paid"),IF(G210&gt;0,"Partial",IF(AND(A210&lt;&gt;"",TODAY()&gt;A210+Settings!$C$7),"Unpaid","Due")))))</f>
        <v/>
      </c>
      <c r="L210" s="52" t="str">
        <f t="shared" si="15"/>
        <v/>
      </c>
      <c r="M210" s="47"/>
      <c r="N210" s="48" t="str">
        <f t="shared" si="16"/>
        <v/>
      </c>
      <c r="O210" s="48" t="str">
        <f>IF(B210="","",COUNTIF($B$7:B210,B210))</f>
        <v/>
      </c>
      <c r="P210" s="48" t="str">
        <f t="shared" si="17"/>
        <v/>
      </c>
      <c r="Q210" s="48" t="str">
        <f t="shared" si="18"/>
        <v/>
      </c>
      <c r="R210" s="48" t="str">
        <f t="shared" si="19"/>
        <v/>
      </c>
    </row>
    <row r="211" spans="1:18" ht="16" x14ac:dyDescent="0.2">
      <c r="A211" s="50"/>
      <c r="B211" s="47"/>
      <c r="C211" s="48" t="str">
        <f>IF(B211="","",IFERROR(INDEX(Tenants!$B$6:$B$35,MATCH(B211,Tenants!$A$6:$A$35,0)),"Unit not found"))</f>
        <v/>
      </c>
      <c r="D211" s="48" t="str">
        <f>IF(B211="","",IF(J211="Y","(vacant)",IFERROR(INDEX(Tenants!$C$6:$C$35,MATCH(B211,Tenants!$A$6:$A$35,0)),"")))</f>
        <v/>
      </c>
      <c r="E211" s="56"/>
      <c r="F211" s="56"/>
      <c r="G211" s="56"/>
      <c r="H211" s="50"/>
      <c r="I211" s="47"/>
      <c r="J211" s="47"/>
      <c r="K211" s="48" t="str">
        <f ca="1">IF(B211="","",IF(UPPER(J211)="Y","Vacant",IF(AND(G211&gt;0,G211&gt;=E211+F211),IF(AND(H211&lt;&gt;"",A211&lt;&gt;"",H211&gt;A211+Settings!$C$7),"Paid late","Paid"),IF(G211&gt;0,"Partial",IF(AND(A211&lt;&gt;"",TODAY()&gt;A211+Settings!$C$7),"Unpaid","Due")))))</f>
        <v/>
      </c>
      <c r="L211" s="52" t="str">
        <f t="shared" si="15"/>
        <v/>
      </c>
      <c r="M211" s="47"/>
      <c r="N211" s="48" t="str">
        <f t="shared" si="16"/>
        <v/>
      </c>
      <c r="O211" s="48" t="str">
        <f>IF(B211="","",COUNTIF($B$7:B211,B211))</f>
        <v/>
      </c>
      <c r="P211" s="48" t="str">
        <f t="shared" si="17"/>
        <v/>
      </c>
      <c r="Q211" s="48" t="str">
        <f t="shared" si="18"/>
        <v/>
      </c>
      <c r="R211" s="48" t="str">
        <f t="shared" si="19"/>
        <v/>
      </c>
    </row>
    <row r="212" spans="1:18" ht="16" x14ac:dyDescent="0.2">
      <c r="A212" s="50"/>
      <c r="B212" s="47"/>
      <c r="C212" s="48" t="str">
        <f>IF(B212="","",IFERROR(INDEX(Tenants!$B$6:$B$35,MATCH(B212,Tenants!$A$6:$A$35,0)),"Unit not found"))</f>
        <v/>
      </c>
      <c r="D212" s="48" t="str">
        <f>IF(B212="","",IF(J212="Y","(vacant)",IFERROR(INDEX(Tenants!$C$6:$C$35,MATCH(B212,Tenants!$A$6:$A$35,0)),"")))</f>
        <v/>
      </c>
      <c r="E212" s="56"/>
      <c r="F212" s="56"/>
      <c r="G212" s="56"/>
      <c r="H212" s="50"/>
      <c r="I212" s="47"/>
      <c r="J212" s="47"/>
      <c r="K212" s="48" t="str">
        <f ca="1">IF(B212="","",IF(UPPER(J212)="Y","Vacant",IF(AND(G212&gt;0,G212&gt;=E212+F212),IF(AND(H212&lt;&gt;"",A212&lt;&gt;"",H212&gt;A212+Settings!$C$7),"Paid late","Paid"),IF(G212&gt;0,"Partial",IF(AND(A212&lt;&gt;"",TODAY()&gt;A212+Settings!$C$7),"Unpaid","Due")))))</f>
        <v/>
      </c>
      <c r="L212" s="52" t="str">
        <f t="shared" si="15"/>
        <v/>
      </c>
      <c r="M212" s="47"/>
      <c r="N212" s="48" t="str">
        <f t="shared" si="16"/>
        <v/>
      </c>
      <c r="O212" s="48" t="str">
        <f>IF(B212="","",COUNTIF($B$7:B212,B212))</f>
        <v/>
      </c>
      <c r="P212" s="48" t="str">
        <f t="shared" si="17"/>
        <v/>
      </c>
      <c r="Q212" s="48" t="str">
        <f t="shared" si="18"/>
        <v/>
      </c>
      <c r="R212" s="48" t="str">
        <f t="shared" si="19"/>
        <v/>
      </c>
    </row>
    <row r="213" spans="1:18" ht="16" x14ac:dyDescent="0.2">
      <c r="A213" s="50"/>
      <c r="B213" s="47"/>
      <c r="C213" s="48" t="str">
        <f>IF(B213="","",IFERROR(INDEX(Tenants!$B$6:$B$35,MATCH(B213,Tenants!$A$6:$A$35,0)),"Unit not found"))</f>
        <v/>
      </c>
      <c r="D213" s="48" t="str">
        <f>IF(B213="","",IF(J213="Y","(vacant)",IFERROR(INDEX(Tenants!$C$6:$C$35,MATCH(B213,Tenants!$A$6:$A$35,0)),"")))</f>
        <v/>
      </c>
      <c r="E213" s="56"/>
      <c r="F213" s="56"/>
      <c r="G213" s="56"/>
      <c r="H213" s="50"/>
      <c r="I213" s="47"/>
      <c r="J213" s="47"/>
      <c r="K213" s="48" t="str">
        <f ca="1">IF(B213="","",IF(UPPER(J213)="Y","Vacant",IF(AND(G213&gt;0,G213&gt;=E213+F213),IF(AND(H213&lt;&gt;"",A213&lt;&gt;"",H213&gt;A213+Settings!$C$7),"Paid late","Paid"),IF(G213&gt;0,"Partial",IF(AND(A213&lt;&gt;"",TODAY()&gt;A213+Settings!$C$7),"Unpaid","Due")))))</f>
        <v/>
      </c>
      <c r="L213" s="52" t="str">
        <f t="shared" si="15"/>
        <v/>
      </c>
      <c r="M213" s="47"/>
      <c r="N213" s="48" t="str">
        <f t="shared" si="16"/>
        <v/>
      </c>
      <c r="O213" s="48" t="str">
        <f>IF(B213="","",COUNTIF($B$7:B213,B213))</f>
        <v/>
      </c>
      <c r="P213" s="48" t="str">
        <f t="shared" si="17"/>
        <v/>
      </c>
      <c r="Q213" s="48" t="str">
        <f t="shared" si="18"/>
        <v/>
      </c>
      <c r="R213" s="48" t="str">
        <f t="shared" si="19"/>
        <v/>
      </c>
    </row>
    <row r="214" spans="1:18" ht="16" x14ac:dyDescent="0.2">
      <c r="A214" s="50"/>
      <c r="B214" s="47"/>
      <c r="C214" s="48" t="str">
        <f>IF(B214="","",IFERROR(INDEX(Tenants!$B$6:$B$35,MATCH(B214,Tenants!$A$6:$A$35,0)),"Unit not found"))</f>
        <v/>
      </c>
      <c r="D214" s="48" t="str">
        <f>IF(B214="","",IF(J214="Y","(vacant)",IFERROR(INDEX(Tenants!$C$6:$C$35,MATCH(B214,Tenants!$A$6:$A$35,0)),"")))</f>
        <v/>
      </c>
      <c r="E214" s="56"/>
      <c r="F214" s="56"/>
      <c r="G214" s="56"/>
      <c r="H214" s="50"/>
      <c r="I214" s="47"/>
      <c r="J214" s="47"/>
      <c r="K214" s="48" t="str">
        <f ca="1">IF(B214="","",IF(UPPER(J214)="Y","Vacant",IF(AND(G214&gt;0,G214&gt;=E214+F214),IF(AND(H214&lt;&gt;"",A214&lt;&gt;"",H214&gt;A214+Settings!$C$7),"Paid late","Paid"),IF(G214&gt;0,"Partial",IF(AND(A214&lt;&gt;"",TODAY()&gt;A214+Settings!$C$7),"Unpaid","Due")))))</f>
        <v/>
      </c>
      <c r="L214" s="52" t="str">
        <f t="shared" si="15"/>
        <v/>
      </c>
      <c r="M214" s="47"/>
      <c r="N214" s="48" t="str">
        <f t="shared" si="16"/>
        <v/>
      </c>
      <c r="O214" s="48" t="str">
        <f>IF(B214="","",COUNTIF($B$7:B214,B214))</f>
        <v/>
      </c>
      <c r="P214" s="48" t="str">
        <f t="shared" si="17"/>
        <v/>
      </c>
      <c r="Q214" s="48" t="str">
        <f t="shared" si="18"/>
        <v/>
      </c>
      <c r="R214" s="48" t="str">
        <f t="shared" si="19"/>
        <v/>
      </c>
    </row>
    <row r="215" spans="1:18" ht="16" x14ac:dyDescent="0.2">
      <c r="A215" s="50"/>
      <c r="B215" s="47"/>
      <c r="C215" s="48" t="str">
        <f>IF(B215="","",IFERROR(INDEX(Tenants!$B$6:$B$35,MATCH(B215,Tenants!$A$6:$A$35,0)),"Unit not found"))</f>
        <v/>
      </c>
      <c r="D215" s="48" t="str">
        <f>IF(B215="","",IF(J215="Y","(vacant)",IFERROR(INDEX(Tenants!$C$6:$C$35,MATCH(B215,Tenants!$A$6:$A$35,0)),"")))</f>
        <v/>
      </c>
      <c r="E215" s="56"/>
      <c r="F215" s="56"/>
      <c r="G215" s="56"/>
      <c r="H215" s="50"/>
      <c r="I215" s="47"/>
      <c r="J215" s="47"/>
      <c r="K215" s="48" t="str">
        <f ca="1">IF(B215="","",IF(UPPER(J215)="Y","Vacant",IF(AND(G215&gt;0,G215&gt;=E215+F215),IF(AND(H215&lt;&gt;"",A215&lt;&gt;"",H215&gt;A215+Settings!$C$7),"Paid late","Paid"),IF(G215&gt;0,"Partial",IF(AND(A215&lt;&gt;"",TODAY()&gt;A215+Settings!$C$7),"Unpaid","Due")))))</f>
        <v/>
      </c>
      <c r="L215" s="52" t="str">
        <f t="shared" si="15"/>
        <v/>
      </c>
      <c r="M215" s="47"/>
      <c r="N215" s="48" t="str">
        <f t="shared" si="16"/>
        <v/>
      </c>
      <c r="O215" s="48" t="str">
        <f>IF(B215="","",COUNTIF($B$7:B215,B215))</f>
        <v/>
      </c>
      <c r="P215" s="48" t="str">
        <f t="shared" si="17"/>
        <v/>
      </c>
      <c r="Q215" s="48" t="str">
        <f t="shared" si="18"/>
        <v/>
      </c>
      <c r="R215" s="48" t="str">
        <f t="shared" si="19"/>
        <v/>
      </c>
    </row>
    <row r="216" spans="1:18" ht="16" x14ac:dyDescent="0.2">
      <c r="A216" s="50"/>
      <c r="B216" s="47"/>
      <c r="C216" s="48" t="str">
        <f>IF(B216="","",IFERROR(INDEX(Tenants!$B$6:$B$35,MATCH(B216,Tenants!$A$6:$A$35,0)),"Unit not found"))</f>
        <v/>
      </c>
      <c r="D216" s="48" t="str">
        <f>IF(B216="","",IF(J216="Y","(vacant)",IFERROR(INDEX(Tenants!$C$6:$C$35,MATCH(B216,Tenants!$A$6:$A$35,0)),"")))</f>
        <v/>
      </c>
      <c r="E216" s="56"/>
      <c r="F216" s="56"/>
      <c r="G216" s="56"/>
      <c r="H216" s="50"/>
      <c r="I216" s="47"/>
      <c r="J216" s="47"/>
      <c r="K216" s="48" t="str">
        <f ca="1">IF(B216="","",IF(UPPER(J216)="Y","Vacant",IF(AND(G216&gt;0,G216&gt;=E216+F216),IF(AND(H216&lt;&gt;"",A216&lt;&gt;"",H216&gt;A216+Settings!$C$7),"Paid late","Paid"),IF(G216&gt;0,"Partial",IF(AND(A216&lt;&gt;"",TODAY()&gt;A216+Settings!$C$7),"Unpaid","Due")))))</f>
        <v/>
      </c>
      <c r="L216" s="52" t="str">
        <f t="shared" si="15"/>
        <v/>
      </c>
      <c r="M216" s="47"/>
      <c r="N216" s="48" t="str">
        <f t="shared" si="16"/>
        <v/>
      </c>
      <c r="O216" s="48" t="str">
        <f>IF(B216="","",COUNTIF($B$7:B216,B216))</f>
        <v/>
      </c>
      <c r="P216" s="48" t="str">
        <f t="shared" si="17"/>
        <v/>
      </c>
      <c r="Q216" s="48" t="str">
        <f t="shared" si="18"/>
        <v/>
      </c>
      <c r="R216" s="48" t="str">
        <f t="shared" si="19"/>
        <v/>
      </c>
    </row>
    <row r="217" spans="1:18" ht="16" x14ac:dyDescent="0.2">
      <c r="A217" s="50"/>
      <c r="B217" s="47"/>
      <c r="C217" s="48" t="str">
        <f>IF(B217="","",IFERROR(INDEX(Tenants!$B$6:$B$35,MATCH(B217,Tenants!$A$6:$A$35,0)),"Unit not found"))</f>
        <v/>
      </c>
      <c r="D217" s="48" t="str">
        <f>IF(B217="","",IF(J217="Y","(vacant)",IFERROR(INDEX(Tenants!$C$6:$C$35,MATCH(B217,Tenants!$A$6:$A$35,0)),"")))</f>
        <v/>
      </c>
      <c r="E217" s="56"/>
      <c r="F217" s="56"/>
      <c r="G217" s="56"/>
      <c r="H217" s="50"/>
      <c r="I217" s="47"/>
      <c r="J217" s="47"/>
      <c r="K217" s="48" t="str">
        <f ca="1">IF(B217="","",IF(UPPER(J217)="Y","Vacant",IF(AND(G217&gt;0,G217&gt;=E217+F217),IF(AND(H217&lt;&gt;"",A217&lt;&gt;"",H217&gt;A217+Settings!$C$7),"Paid late","Paid"),IF(G217&gt;0,"Partial",IF(AND(A217&lt;&gt;"",TODAY()&gt;A217+Settings!$C$7),"Unpaid","Due")))))</f>
        <v/>
      </c>
      <c r="L217" s="52" t="str">
        <f t="shared" si="15"/>
        <v/>
      </c>
      <c r="M217" s="47"/>
      <c r="N217" s="48" t="str">
        <f t="shared" si="16"/>
        <v/>
      </c>
      <c r="O217" s="48" t="str">
        <f>IF(B217="","",COUNTIF($B$7:B217,B217))</f>
        <v/>
      </c>
      <c r="P217" s="48" t="str">
        <f t="shared" si="17"/>
        <v/>
      </c>
      <c r="Q217" s="48" t="str">
        <f t="shared" si="18"/>
        <v/>
      </c>
      <c r="R217" s="48" t="str">
        <f t="shared" si="19"/>
        <v/>
      </c>
    </row>
    <row r="218" spans="1:18" ht="16" x14ac:dyDescent="0.2">
      <c r="A218" s="50"/>
      <c r="B218" s="47"/>
      <c r="C218" s="48" t="str">
        <f>IF(B218="","",IFERROR(INDEX(Tenants!$B$6:$B$35,MATCH(B218,Tenants!$A$6:$A$35,0)),"Unit not found"))</f>
        <v/>
      </c>
      <c r="D218" s="48" t="str">
        <f>IF(B218="","",IF(J218="Y","(vacant)",IFERROR(INDEX(Tenants!$C$6:$C$35,MATCH(B218,Tenants!$A$6:$A$35,0)),"")))</f>
        <v/>
      </c>
      <c r="E218" s="56"/>
      <c r="F218" s="56"/>
      <c r="G218" s="56"/>
      <c r="H218" s="50"/>
      <c r="I218" s="47"/>
      <c r="J218" s="47"/>
      <c r="K218" s="48" t="str">
        <f ca="1">IF(B218="","",IF(UPPER(J218)="Y","Vacant",IF(AND(G218&gt;0,G218&gt;=E218+F218),IF(AND(H218&lt;&gt;"",A218&lt;&gt;"",H218&gt;A218+Settings!$C$7),"Paid late","Paid"),IF(G218&gt;0,"Partial",IF(AND(A218&lt;&gt;"",TODAY()&gt;A218+Settings!$C$7),"Unpaid","Due")))))</f>
        <v/>
      </c>
      <c r="L218" s="52" t="str">
        <f t="shared" si="15"/>
        <v/>
      </c>
      <c r="M218" s="47"/>
      <c r="N218" s="48" t="str">
        <f t="shared" si="16"/>
        <v/>
      </c>
      <c r="O218" s="48" t="str">
        <f>IF(B218="","",COUNTIF($B$7:B218,B218))</f>
        <v/>
      </c>
      <c r="P218" s="48" t="str">
        <f t="shared" si="17"/>
        <v/>
      </c>
      <c r="Q218" s="48" t="str">
        <f t="shared" si="18"/>
        <v/>
      </c>
      <c r="R218" s="48" t="str">
        <f t="shared" si="19"/>
        <v/>
      </c>
    </row>
    <row r="219" spans="1:18" ht="16" x14ac:dyDescent="0.2">
      <c r="A219" s="50"/>
      <c r="B219" s="47"/>
      <c r="C219" s="48" t="str">
        <f>IF(B219="","",IFERROR(INDEX(Tenants!$B$6:$B$35,MATCH(B219,Tenants!$A$6:$A$35,0)),"Unit not found"))</f>
        <v/>
      </c>
      <c r="D219" s="48" t="str">
        <f>IF(B219="","",IF(J219="Y","(vacant)",IFERROR(INDEX(Tenants!$C$6:$C$35,MATCH(B219,Tenants!$A$6:$A$35,0)),"")))</f>
        <v/>
      </c>
      <c r="E219" s="56"/>
      <c r="F219" s="56"/>
      <c r="G219" s="56"/>
      <c r="H219" s="50"/>
      <c r="I219" s="47"/>
      <c r="J219" s="47"/>
      <c r="K219" s="48" t="str">
        <f ca="1">IF(B219="","",IF(UPPER(J219)="Y","Vacant",IF(AND(G219&gt;0,G219&gt;=E219+F219),IF(AND(H219&lt;&gt;"",A219&lt;&gt;"",H219&gt;A219+Settings!$C$7),"Paid late","Paid"),IF(G219&gt;0,"Partial",IF(AND(A219&lt;&gt;"",TODAY()&gt;A219+Settings!$C$7),"Unpaid","Due")))))</f>
        <v/>
      </c>
      <c r="L219" s="52" t="str">
        <f t="shared" si="15"/>
        <v/>
      </c>
      <c r="M219" s="47"/>
      <c r="N219" s="48" t="str">
        <f t="shared" si="16"/>
        <v/>
      </c>
      <c r="O219" s="48" t="str">
        <f>IF(B219="","",COUNTIF($B$7:B219,B219))</f>
        <v/>
      </c>
      <c r="P219" s="48" t="str">
        <f t="shared" si="17"/>
        <v/>
      </c>
      <c r="Q219" s="48" t="str">
        <f t="shared" si="18"/>
        <v/>
      </c>
      <c r="R219" s="48" t="str">
        <f t="shared" si="19"/>
        <v/>
      </c>
    </row>
    <row r="220" spans="1:18" ht="16" x14ac:dyDescent="0.2">
      <c r="A220" s="50"/>
      <c r="B220" s="47"/>
      <c r="C220" s="48" t="str">
        <f>IF(B220="","",IFERROR(INDEX(Tenants!$B$6:$B$35,MATCH(B220,Tenants!$A$6:$A$35,0)),"Unit not found"))</f>
        <v/>
      </c>
      <c r="D220" s="48" t="str">
        <f>IF(B220="","",IF(J220="Y","(vacant)",IFERROR(INDEX(Tenants!$C$6:$C$35,MATCH(B220,Tenants!$A$6:$A$35,0)),"")))</f>
        <v/>
      </c>
      <c r="E220" s="56"/>
      <c r="F220" s="56"/>
      <c r="G220" s="56"/>
      <c r="H220" s="50"/>
      <c r="I220" s="47"/>
      <c r="J220" s="47"/>
      <c r="K220" s="48" t="str">
        <f ca="1">IF(B220="","",IF(UPPER(J220)="Y","Vacant",IF(AND(G220&gt;0,G220&gt;=E220+F220),IF(AND(H220&lt;&gt;"",A220&lt;&gt;"",H220&gt;A220+Settings!$C$7),"Paid late","Paid"),IF(G220&gt;0,"Partial",IF(AND(A220&lt;&gt;"",TODAY()&gt;A220+Settings!$C$7),"Unpaid","Due")))))</f>
        <v/>
      </c>
      <c r="L220" s="52" t="str">
        <f t="shared" si="15"/>
        <v/>
      </c>
      <c r="M220" s="47"/>
      <c r="N220" s="48" t="str">
        <f t="shared" si="16"/>
        <v/>
      </c>
      <c r="O220" s="48" t="str">
        <f>IF(B220="","",COUNTIF($B$7:B220,B220))</f>
        <v/>
      </c>
      <c r="P220" s="48" t="str">
        <f t="shared" si="17"/>
        <v/>
      </c>
      <c r="Q220" s="48" t="str">
        <f t="shared" si="18"/>
        <v/>
      </c>
      <c r="R220" s="48" t="str">
        <f t="shared" si="19"/>
        <v/>
      </c>
    </row>
    <row r="221" spans="1:18" ht="16" x14ac:dyDescent="0.2">
      <c r="A221" s="50"/>
      <c r="B221" s="47"/>
      <c r="C221" s="48" t="str">
        <f>IF(B221="","",IFERROR(INDEX(Tenants!$B$6:$B$35,MATCH(B221,Tenants!$A$6:$A$35,0)),"Unit not found"))</f>
        <v/>
      </c>
      <c r="D221" s="48" t="str">
        <f>IF(B221="","",IF(J221="Y","(vacant)",IFERROR(INDEX(Tenants!$C$6:$C$35,MATCH(B221,Tenants!$A$6:$A$35,0)),"")))</f>
        <v/>
      </c>
      <c r="E221" s="56"/>
      <c r="F221" s="56"/>
      <c r="G221" s="56"/>
      <c r="H221" s="50"/>
      <c r="I221" s="47"/>
      <c r="J221" s="47"/>
      <c r="K221" s="48" t="str">
        <f ca="1">IF(B221="","",IF(UPPER(J221)="Y","Vacant",IF(AND(G221&gt;0,G221&gt;=E221+F221),IF(AND(H221&lt;&gt;"",A221&lt;&gt;"",H221&gt;A221+Settings!$C$7),"Paid late","Paid"),IF(G221&gt;0,"Partial",IF(AND(A221&lt;&gt;"",TODAY()&gt;A221+Settings!$C$7),"Unpaid","Due")))))</f>
        <v/>
      </c>
      <c r="L221" s="52" t="str">
        <f t="shared" si="15"/>
        <v/>
      </c>
      <c r="M221" s="47"/>
      <c r="N221" s="48" t="str">
        <f t="shared" si="16"/>
        <v/>
      </c>
      <c r="O221" s="48" t="str">
        <f>IF(B221="","",COUNTIF($B$7:B221,B221))</f>
        <v/>
      </c>
      <c r="P221" s="48" t="str">
        <f t="shared" si="17"/>
        <v/>
      </c>
      <c r="Q221" s="48" t="str">
        <f t="shared" si="18"/>
        <v/>
      </c>
      <c r="R221" s="48" t="str">
        <f t="shared" si="19"/>
        <v/>
      </c>
    </row>
    <row r="222" spans="1:18" ht="16" x14ac:dyDescent="0.2">
      <c r="A222" s="50"/>
      <c r="B222" s="47"/>
      <c r="C222" s="48" t="str">
        <f>IF(B222="","",IFERROR(INDEX(Tenants!$B$6:$B$35,MATCH(B222,Tenants!$A$6:$A$35,0)),"Unit not found"))</f>
        <v/>
      </c>
      <c r="D222" s="48" t="str">
        <f>IF(B222="","",IF(J222="Y","(vacant)",IFERROR(INDEX(Tenants!$C$6:$C$35,MATCH(B222,Tenants!$A$6:$A$35,0)),"")))</f>
        <v/>
      </c>
      <c r="E222" s="56"/>
      <c r="F222" s="56"/>
      <c r="G222" s="56"/>
      <c r="H222" s="50"/>
      <c r="I222" s="47"/>
      <c r="J222" s="47"/>
      <c r="K222" s="48" t="str">
        <f ca="1">IF(B222="","",IF(UPPER(J222)="Y","Vacant",IF(AND(G222&gt;0,G222&gt;=E222+F222),IF(AND(H222&lt;&gt;"",A222&lt;&gt;"",H222&gt;A222+Settings!$C$7),"Paid late","Paid"),IF(G222&gt;0,"Partial",IF(AND(A222&lt;&gt;"",TODAY()&gt;A222+Settings!$C$7),"Unpaid","Due")))))</f>
        <v/>
      </c>
      <c r="L222" s="52" t="str">
        <f t="shared" si="15"/>
        <v/>
      </c>
      <c r="M222" s="47"/>
      <c r="N222" s="48" t="str">
        <f t="shared" si="16"/>
        <v/>
      </c>
      <c r="O222" s="48" t="str">
        <f>IF(B222="","",COUNTIF($B$7:B222,B222))</f>
        <v/>
      </c>
      <c r="P222" s="48" t="str">
        <f t="shared" si="17"/>
        <v/>
      </c>
      <c r="Q222" s="48" t="str">
        <f t="shared" si="18"/>
        <v/>
      </c>
      <c r="R222" s="48" t="str">
        <f t="shared" si="19"/>
        <v/>
      </c>
    </row>
    <row r="223" spans="1:18" ht="16" x14ac:dyDescent="0.2">
      <c r="A223" s="50"/>
      <c r="B223" s="47"/>
      <c r="C223" s="48" t="str">
        <f>IF(B223="","",IFERROR(INDEX(Tenants!$B$6:$B$35,MATCH(B223,Tenants!$A$6:$A$35,0)),"Unit not found"))</f>
        <v/>
      </c>
      <c r="D223" s="48" t="str">
        <f>IF(B223="","",IF(J223="Y","(vacant)",IFERROR(INDEX(Tenants!$C$6:$C$35,MATCH(B223,Tenants!$A$6:$A$35,0)),"")))</f>
        <v/>
      </c>
      <c r="E223" s="56"/>
      <c r="F223" s="56"/>
      <c r="G223" s="56"/>
      <c r="H223" s="50"/>
      <c r="I223" s="47"/>
      <c r="J223" s="47"/>
      <c r="K223" s="48" t="str">
        <f ca="1">IF(B223="","",IF(UPPER(J223)="Y","Vacant",IF(AND(G223&gt;0,G223&gt;=E223+F223),IF(AND(H223&lt;&gt;"",A223&lt;&gt;"",H223&gt;A223+Settings!$C$7),"Paid late","Paid"),IF(G223&gt;0,"Partial",IF(AND(A223&lt;&gt;"",TODAY()&gt;A223+Settings!$C$7),"Unpaid","Due")))))</f>
        <v/>
      </c>
      <c r="L223" s="52" t="str">
        <f t="shared" si="15"/>
        <v/>
      </c>
      <c r="M223" s="47"/>
      <c r="N223" s="48" t="str">
        <f t="shared" si="16"/>
        <v/>
      </c>
      <c r="O223" s="48" t="str">
        <f>IF(B223="","",COUNTIF($B$7:B223,B223))</f>
        <v/>
      </c>
      <c r="P223" s="48" t="str">
        <f t="shared" si="17"/>
        <v/>
      </c>
      <c r="Q223" s="48" t="str">
        <f t="shared" si="18"/>
        <v/>
      </c>
      <c r="R223" s="48" t="str">
        <f t="shared" si="19"/>
        <v/>
      </c>
    </row>
    <row r="224" spans="1:18" ht="16" x14ac:dyDescent="0.2">
      <c r="A224" s="50"/>
      <c r="B224" s="47"/>
      <c r="C224" s="48" t="str">
        <f>IF(B224="","",IFERROR(INDEX(Tenants!$B$6:$B$35,MATCH(B224,Tenants!$A$6:$A$35,0)),"Unit not found"))</f>
        <v/>
      </c>
      <c r="D224" s="48" t="str">
        <f>IF(B224="","",IF(J224="Y","(vacant)",IFERROR(INDEX(Tenants!$C$6:$C$35,MATCH(B224,Tenants!$A$6:$A$35,0)),"")))</f>
        <v/>
      </c>
      <c r="E224" s="56"/>
      <c r="F224" s="56"/>
      <c r="G224" s="56"/>
      <c r="H224" s="50"/>
      <c r="I224" s="47"/>
      <c r="J224" s="47"/>
      <c r="K224" s="48" t="str">
        <f ca="1">IF(B224="","",IF(UPPER(J224)="Y","Vacant",IF(AND(G224&gt;0,G224&gt;=E224+F224),IF(AND(H224&lt;&gt;"",A224&lt;&gt;"",H224&gt;A224+Settings!$C$7),"Paid late","Paid"),IF(G224&gt;0,"Partial",IF(AND(A224&lt;&gt;"",TODAY()&gt;A224+Settings!$C$7),"Unpaid","Due")))))</f>
        <v/>
      </c>
      <c r="L224" s="52" t="str">
        <f t="shared" si="15"/>
        <v/>
      </c>
      <c r="M224" s="47"/>
      <c r="N224" s="48" t="str">
        <f t="shared" si="16"/>
        <v/>
      </c>
      <c r="O224" s="48" t="str">
        <f>IF(B224="","",COUNTIF($B$7:B224,B224))</f>
        <v/>
      </c>
      <c r="P224" s="48" t="str">
        <f t="shared" si="17"/>
        <v/>
      </c>
      <c r="Q224" s="48" t="str">
        <f t="shared" si="18"/>
        <v/>
      </c>
      <c r="R224" s="48" t="str">
        <f t="shared" si="19"/>
        <v/>
      </c>
    </row>
    <row r="225" spans="1:18" ht="16" x14ac:dyDescent="0.2">
      <c r="A225" s="50"/>
      <c r="B225" s="47"/>
      <c r="C225" s="48" t="str">
        <f>IF(B225="","",IFERROR(INDEX(Tenants!$B$6:$B$35,MATCH(B225,Tenants!$A$6:$A$35,0)),"Unit not found"))</f>
        <v/>
      </c>
      <c r="D225" s="48" t="str">
        <f>IF(B225="","",IF(J225="Y","(vacant)",IFERROR(INDEX(Tenants!$C$6:$C$35,MATCH(B225,Tenants!$A$6:$A$35,0)),"")))</f>
        <v/>
      </c>
      <c r="E225" s="56"/>
      <c r="F225" s="56"/>
      <c r="G225" s="56"/>
      <c r="H225" s="50"/>
      <c r="I225" s="47"/>
      <c r="J225" s="47"/>
      <c r="K225" s="48" t="str">
        <f ca="1">IF(B225="","",IF(UPPER(J225)="Y","Vacant",IF(AND(G225&gt;0,G225&gt;=E225+F225),IF(AND(H225&lt;&gt;"",A225&lt;&gt;"",H225&gt;A225+Settings!$C$7),"Paid late","Paid"),IF(G225&gt;0,"Partial",IF(AND(A225&lt;&gt;"",TODAY()&gt;A225+Settings!$C$7),"Unpaid","Due")))))</f>
        <v/>
      </c>
      <c r="L225" s="52" t="str">
        <f t="shared" si="15"/>
        <v/>
      </c>
      <c r="M225" s="47"/>
      <c r="N225" s="48" t="str">
        <f t="shared" si="16"/>
        <v/>
      </c>
      <c r="O225" s="48" t="str">
        <f>IF(B225="","",COUNTIF($B$7:B225,B225))</f>
        <v/>
      </c>
      <c r="P225" s="48" t="str">
        <f t="shared" si="17"/>
        <v/>
      </c>
      <c r="Q225" s="48" t="str">
        <f t="shared" si="18"/>
        <v/>
      </c>
      <c r="R225" s="48" t="str">
        <f t="shared" si="19"/>
        <v/>
      </c>
    </row>
    <row r="226" spans="1:18" ht="16" x14ac:dyDescent="0.2">
      <c r="A226" s="50"/>
      <c r="B226" s="47"/>
      <c r="C226" s="48" t="str">
        <f>IF(B226="","",IFERROR(INDEX(Tenants!$B$6:$B$35,MATCH(B226,Tenants!$A$6:$A$35,0)),"Unit not found"))</f>
        <v/>
      </c>
      <c r="D226" s="48" t="str">
        <f>IF(B226="","",IF(J226="Y","(vacant)",IFERROR(INDEX(Tenants!$C$6:$C$35,MATCH(B226,Tenants!$A$6:$A$35,0)),"")))</f>
        <v/>
      </c>
      <c r="E226" s="56"/>
      <c r="F226" s="56"/>
      <c r="G226" s="56"/>
      <c r="H226" s="50"/>
      <c r="I226" s="47"/>
      <c r="J226" s="47"/>
      <c r="K226" s="48" t="str">
        <f ca="1">IF(B226="","",IF(UPPER(J226)="Y","Vacant",IF(AND(G226&gt;0,G226&gt;=E226+F226),IF(AND(H226&lt;&gt;"",A226&lt;&gt;"",H226&gt;A226+Settings!$C$7),"Paid late","Paid"),IF(G226&gt;0,"Partial",IF(AND(A226&lt;&gt;"",TODAY()&gt;A226+Settings!$C$7),"Unpaid","Due")))))</f>
        <v/>
      </c>
      <c r="L226" s="52" t="str">
        <f t="shared" si="15"/>
        <v/>
      </c>
      <c r="M226" s="47"/>
      <c r="N226" s="48" t="str">
        <f t="shared" si="16"/>
        <v/>
      </c>
      <c r="O226" s="48" t="str">
        <f>IF(B226="","",COUNTIF($B$7:B226,B226))</f>
        <v/>
      </c>
      <c r="P226" s="48" t="str">
        <f t="shared" si="17"/>
        <v/>
      </c>
      <c r="Q226" s="48" t="str">
        <f t="shared" si="18"/>
        <v/>
      </c>
      <c r="R226" s="48" t="str">
        <f t="shared" si="19"/>
        <v/>
      </c>
    </row>
    <row r="227" spans="1:18" ht="16" x14ac:dyDescent="0.2">
      <c r="A227" s="50"/>
      <c r="B227" s="47"/>
      <c r="C227" s="48" t="str">
        <f>IF(B227="","",IFERROR(INDEX(Tenants!$B$6:$B$35,MATCH(B227,Tenants!$A$6:$A$35,0)),"Unit not found"))</f>
        <v/>
      </c>
      <c r="D227" s="48" t="str">
        <f>IF(B227="","",IF(J227="Y","(vacant)",IFERROR(INDEX(Tenants!$C$6:$C$35,MATCH(B227,Tenants!$A$6:$A$35,0)),"")))</f>
        <v/>
      </c>
      <c r="E227" s="56"/>
      <c r="F227" s="56"/>
      <c r="G227" s="56"/>
      <c r="H227" s="50"/>
      <c r="I227" s="47"/>
      <c r="J227" s="47"/>
      <c r="K227" s="48" t="str">
        <f ca="1">IF(B227="","",IF(UPPER(J227)="Y","Vacant",IF(AND(G227&gt;0,G227&gt;=E227+F227),IF(AND(H227&lt;&gt;"",A227&lt;&gt;"",H227&gt;A227+Settings!$C$7),"Paid late","Paid"),IF(G227&gt;0,"Partial",IF(AND(A227&lt;&gt;"",TODAY()&gt;A227+Settings!$C$7),"Unpaid","Due")))))</f>
        <v/>
      </c>
      <c r="L227" s="52" t="str">
        <f t="shared" si="15"/>
        <v/>
      </c>
      <c r="M227" s="47"/>
      <c r="N227" s="48" t="str">
        <f t="shared" si="16"/>
        <v/>
      </c>
      <c r="O227" s="48" t="str">
        <f>IF(B227="","",COUNTIF($B$7:B227,B227))</f>
        <v/>
      </c>
      <c r="P227" s="48" t="str">
        <f t="shared" si="17"/>
        <v/>
      </c>
      <c r="Q227" s="48" t="str">
        <f t="shared" si="18"/>
        <v/>
      </c>
      <c r="R227" s="48" t="str">
        <f t="shared" si="19"/>
        <v/>
      </c>
    </row>
    <row r="228" spans="1:18" ht="16" x14ac:dyDescent="0.2">
      <c r="A228" s="50"/>
      <c r="B228" s="47"/>
      <c r="C228" s="48" t="str">
        <f>IF(B228="","",IFERROR(INDEX(Tenants!$B$6:$B$35,MATCH(B228,Tenants!$A$6:$A$35,0)),"Unit not found"))</f>
        <v/>
      </c>
      <c r="D228" s="48" t="str">
        <f>IF(B228="","",IF(J228="Y","(vacant)",IFERROR(INDEX(Tenants!$C$6:$C$35,MATCH(B228,Tenants!$A$6:$A$35,0)),"")))</f>
        <v/>
      </c>
      <c r="E228" s="56"/>
      <c r="F228" s="56"/>
      <c r="G228" s="56"/>
      <c r="H228" s="50"/>
      <c r="I228" s="47"/>
      <c r="J228" s="47"/>
      <c r="K228" s="48" t="str">
        <f ca="1">IF(B228="","",IF(UPPER(J228)="Y","Vacant",IF(AND(G228&gt;0,G228&gt;=E228+F228),IF(AND(H228&lt;&gt;"",A228&lt;&gt;"",H228&gt;A228+Settings!$C$7),"Paid late","Paid"),IF(G228&gt;0,"Partial",IF(AND(A228&lt;&gt;"",TODAY()&gt;A228+Settings!$C$7),"Unpaid","Due")))))</f>
        <v/>
      </c>
      <c r="L228" s="52" t="str">
        <f t="shared" si="15"/>
        <v/>
      </c>
      <c r="M228" s="47"/>
      <c r="N228" s="48" t="str">
        <f t="shared" si="16"/>
        <v/>
      </c>
      <c r="O228" s="48" t="str">
        <f>IF(B228="","",COUNTIF($B$7:B228,B228))</f>
        <v/>
      </c>
      <c r="P228" s="48" t="str">
        <f t="shared" si="17"/>
        <v/>
      </c>
      <c r="Q228" s="48" t="str">
        <f t="shared" si="18"/>
        <v/>
      </c>
      <c r="R228" s="48" t="str">
        <f t="shared" si="19"/>
        <v/>
      </c>
    </row>
    <row r="229" spans="1:18" ht="16" x14ac:dyDescent="0.2">
      <c r="A229" s="50"/>
      <c r="B229" s="47"/>
      <c r="C229" s="48" t="str">
        <f>IF(B229="","",IFERROR(INDEX(Tenants!$B$6:$B$35,MATCH(B229,Tenants!$A$6:$A$35,0)),"Unit not found"))</f>
        <v/>
      </c>
      <c r="D229" s="48" t="str">
        <f>IF(B229="","",IF(J229="Y","(vacant)",IFERROR(INDEX(Tenants!$C$6:$C$35,MATCH(B229,Tenants!$A$6:$A$35,0)),"")))</f>
        <v/>
      </c>
      <c r="E229" s="56"/>
      <c r="F229" s="56"/>
      <c r="G229" s="56"/>
      <c r="H229" s="50"/>
      <c r="I229" s="47"/>
      <c r="J229" s="47"/>
      <c r="K229" s="48" t="str">
        <f ca="1">IF(B229="","",IF(UPPER(J229)="Y","Vacant",IF(AND(G229&gt;0,G229&gt;=E229+F229),IF(AND(H229&lt;&gt;"",A229&lt;&gt;"",H229&gt;A229+Settings!$C$7),"Paid late","Paid"),IF(G229&gt;0,"Partial",IF(AND(A229&lt;&gt;"",TODAY()&gt;A229+Settings!$C$7),"Unpaid","Due")))))</f>
        <v/>
      </c>
      <c r="L229" s="52" t="str">
        <f t="shared" si="15"/>
        <v/>
      </c>
      <c r="M229" s="47"/>
      <c r="N229" s="48" t="str">
        <f t="shared" si="16"/>
        <v/>
      </c>
      <c r="O229" s="48" t="str">
        <f>IF(B229="","",COUNTIF($B$7:B229,B229))</f>
        <v/>
      </c>
      <c r="P229" s="48" t="str">
        <f t="shared" si="17"/>
        <v/>
      </c>
      <c r="Q229" s="48" t="str">
        <f t="shared" si="18"/>
        <v/>
      </c>
      <c r="R229" s="48" t="str">
        <f t="shared" si="19"/>
        <v/>
      </c>
    </row>
    <row r="230" spans="1:18" ht="16" x14ac:dyDescent="0.2">
      <c r="A230" s="50"/>
      <c r="B230" s="47"/>
      <c r="C230" s="48" t="str">
        <f>IF(B230="","",IFERROR(INDEX(Tenants!$B$6:$B$35,MATCH(B230,Tenants!$A$6:$A$35,0)),"Unit not found"))</f>
        <v/>
      </c>
      <c r="D230" s="48" t="str">
        <f>IF(B230="","",IF(J230="Y","(vacant)",IFERROR(INDEX(Tenants!$C$6:$C$35,MATCH(B230,Tenants!$A$6:$A$35,0)),"")))</f>
        <v/>
      </c>
      <c r="E230" s="56"/>
      <c r="F230" s="56"/>
      <c r="G230" s="56"/>
      <c r="H230" s="50"/>
      <c r="I230" s="47"/>
      <c r="J230" s="47"/>
      <c r="K230" s="48" t="str">
        <f ca="1">IF(B230="","",IF(UPPER(J230)="Y","Vacant",IF(AND(G230&gt;0,G230&gt;=E230+F230),IF(AND(H230&lt;&gt;"",A230&lt;&gt;"",H230&gt;A230+Settings!$C$7),"Paid late","Paid"),IF(G230&gt;0,"Partial",IF(AND(A230&lt;&gt;"",TODAY()&gt;A230+Settings!$C$7),"Unpaid","Due")))))</f>
        <v/>
      </c>
      <c r="L230" s="52" t="str">
        <f t="shared" si="15"/>
        <v/>
      </c>
      <c r="M230" s="47"/>
      <c r="N230" s="48" t="str">
        <f t="shared" si="16"/>
        <v/>
      </c>
      <c r="O230" s="48" t="str">
        <f>IF(B230="","",COUNTIF($B$7:B230,B230))</f>
        <v/>
      </c>
      <c r="P230" s="48" t="str">
        <f t="shared" si="17"/>
        <v/>
      </c>
      <c r="Q230" s="48" t="str">
        <f t="shared" si="18"/>
        <v/>
      </c>
      <c r="R230" s="48" t="str">
        <f t="shared" si="19"/>
        <v/>
      </c>
    </row>
    <row r="231" spans="1:18" ht="16" x14ac:dyDescent="0.2">
      <c r="A231" s="50"/>
      <c r="B231" s="47"/>
      <c r="C231" s="48" t="str">
        <f>IF(B231="","",IFERROR(INDEX(Tenants!$B$6:$B$35,MATCH(B231,Tenants!$A$6:$A$35,0)),"Unit not found"))</f>
        <v/>
      </c>
      <c r="D231" s="48" t="str">
        <f>IF(B231="","",IF(J231="Y","(vacant)",IFERROR(INDEX(Tenants!$C$6:$C$35,MATCH(B231,Tenants!$A$6:$A$35,0)),"")))</f>
        <v/>
      </c>
      <c r="E231" s="56"/>
      <c r="F231" s="56"/>
      <c r="G231" s="56"/>
      <c r="H231" s="50"/>
      <c r="I231" s="47"/>
      <c r="J231" s="47"/>
      <c r="K231" s="48" t="str">
        <f ca="1">IF(B231="","",IF(UPPER(J231)="Y","Vacant",IF(AND(G231&gt;0,G231&gt;=E231+F231),IF(AND(H231&lt;&gt;"",A231&lt;&gt;"",H231&gt;A231+Settings!$C$7),"Paid late","Paid"),IF(G231&gt;0,"Partial",IF(AND(A231&lt;&gt;"",TODAY()&gt;A231+Settings!$C$7),"Unpaid","Due")))))</f>
        <v/>
      </c>
      <c r="L231" s="52" t="str">
        <f t="shared" si="15"/>
        <v/>
      </c>
      <c r="M231" s="47"/>
      <c r="N231" s="48" t="str">
        <f t="shared" si="16"/>
        <v/>
      </c>
      <c r="O231" s="48" t="str">
        <f>IF(B231="","",COUNTIF($B$7:B231,B231))</f>
        <v/>
      </c>
      <c r="P231" s="48" t="str">
        <f t="shared" si="17"/>
        <v/>
      </c>
      <c r="Q231" s="48" t="str">
        <f t="shared" si="18"/>
        <v/>
      </c>
      <c r="R231" s="48" t="str">
        <f t="shared" si="19"/>
        <v/>
      </c>
    </row>
    <row r="232" spans="1:18" ht="16" x14ac:dyDescent="0.2">
      <c r="A232" s="50"/>
      <c r="B232" s="47"/>
      <c r="C232" s="48" t="str">
        <f>IF(B232="","",IFERROR(INDEX(Tenants!$B$6:$B$35,MATCH(B232,Tenants!$A$6:$A$35,0)),"Unit not found"))</f>
        <v/>
      </c>
      <c r="D232" s="48" t="str">
        <f>IF(B232="","",IF(J232="Y","(vacant)",IFERROR(INDEX(Tenants!$C$6:$C$35,MATCH(B232,Tenants!$A$6:$A$35,0)),"")))</f>
        <v/>
      </c>
      <c r="E232" s="56"/>
      <c r="F232" s="56"/>
      <c r="G232" s="56"/>
      <c r="H232" s="50"/>
      <c r="I232" s="47"/>
      <c r="J232" s="47"/>
      <c r="K232" s="48" t="str">
        <f ca="1">IF(B232="","",IF(UPPER(J232)="Y","Vacant",IF(AND(G232&gt;0,G232&gt;=E232+F232),IF(AND(H232&lt;&gt;"",A232&lt;&gt;"",H232&gt;A232+Settings!$C$7),"Paid late","Paid"),IF(G232&gt;0,"Partial",IF(AND(A232&lt;&gt;"",TODAY()&gt;A232+Settings!$C$7),"Unpaid","Due")))))</f>
        <v/>
      </c>
      <c r="L232" s="52" t="str">
        <f t="shared" si="15"/>
        <v/>
      </c>
      <c r="M232" s="47"/>
      <c r="N232" s="48" t="str">
        <f t="shared" si="16"/>
        <v/>
      </c>
      <c r="O232" s="48" t="str">
        <f>IF(B232="","",COUNTIF($B$7:B232,B232))</f>
        <v/>
      </c>
      <c r="P232" s="48" t="str">
        <f t="shared" si="17"/>
        <v/>
      </c>
      <c r="Q232" s="48" t="str">
        <f t="shared" si="18"/>
        <v/>
      </c>
      <c r="R232" s="48" t="str">
        <f t="shared" si="19"/>
        <v/>
      </c>
    </row>
    <row r="233" spans="1:18" ht="16" x14ac:dyDescent="0.2">
      <c r="A233" s="50"/>
      <c r="B233" s="47"/>
      <c r="C233" s="48" t="str">
        <f>IF(B233="","",IFERROR(INDEX(Tenants!$B$6:$B$35,MATCH(B233,Tenants!$A$6:$A$35,0)),"Unit not found"))</f>
        <v/>
      </c>
      <c r="D233" s="48" t="str">
        <f>IF(B233="","",IF(J233="Y","(vacant)",IFERROR(INDEX(Tenants!$C$6:$C$35,MATCH(B233,Tenants!$A$6:$A$35,0)),"")))</f>
        <v/>
      </c>
      <c r="E233" s="56"/>
      <c r="F233" s="56"/>
      <c r="G233" s="56"/>
      <c r="H233" s="50"/>
      <c r="I233" s="47"/>
      <c r="J233" s="47"/>
      <c r="K233" s="48" t="str">
        <f ca="1">IF(B233="","",IF(UPPER(J233)="Y","Vacant",IF(AND(G233&gt;0,G233&gt;=E233+F233),IF(AND(H233&lt;&gt;"",A233&lt;&gt;"",H233&gt;A233+Settings!$C$7),"Paid late","Paid"),IF(G233&gt;0,"Partial",IF(AND(A233&lt;&gt;"",TODAY()&gt;A233+Settings!$C$7),"Unpaid","Due")))))</f>
        <v/>
      </c>
      <c r="L233" s="52" t="str">
        <f t="shared" si="15"/>
        <v/>
      </c>
      <c r="M233" s="47"/>
      <c r="N233" s="48" t="str">
        <f t="shared" si="16"/>
        <v/>
      </c>
      <c r="O233" s="48" t="str">
        <f>IF(B233="","",COUNTIF($B$7:B233,B233))</f>
        <v/>
      </c>
      <c r="P233" s="48" t="str">
        <f t="shared" si="17"/>
        <v/>
      </c>
      <c r="Q233" s="48" t="str">
        <f t="shared" si="18"/>
        <v/>
      </c>
      <c r="R233" s="48" t="str">
        <f t="shared" si="19"/>
        <v/>
      </c>
    </row>
    <row r="234" spans="1:18" ht="16" x14ac:dyDescent="0.2">
      <c r="A234" s="50"/>
      <c r="B234" s="47"/>
      <c r="C234" s="48" t="str">
        <f>IF(B234="","",IFERROR(INDEX(Tenants!$B$6:$B$35,MATCH(B234,Tenants!$A$6:$A$35,0)),"Unit not found"))</f>
        <v/>
      </c>
      <c r="D234" s="48" t="str">
        <f>IF(B234="","",IF(J234="Y","(vacant)",IFERROR(INDEX(Tenants!$C$6:$C$35,MATCH(B234,Tenants!$A$6:$A$35,0)),"")))</f>
        <v/>
      </c>
      <c r="E234" s="56"/>
      <c r="F234" s="56"/>
      <c r="G234" s="56"/>
      <c r="H234" s="50"/>
      <c r="I234" s="47"/>
      <c r="J234" s="47"/>
      <c r="K234" s="48" t="str">
        <f ca="1">IF(B234="","",IF(UPPER(J234)="Y","Vacant",IF(AND(G234&gt;0,G234&gt;=E234+F234),IF(AND(H234&lt;&gt;"",A234&lt;&gt;"",H234&gt;A234+Settings!$C$7),"Paid late","Paid"),IF(G234&gt;0,"Partial",IF(AND(A234&lt;&gt;"",TODAY()&gt;A234+Settings!$C$7),"Unpaid","Due")))))</f>
        <v/>
      </c>
      <c r="L234" s="52" t="str">
        <f t="shared" si="15"/>
        <v/>
      </c>
      <c r="M234" s="47"/>
      <c r="N234" s="48" t="str">
        <f t="shared" si="16"/>
        <v/>
      </c>
      <c r="O234" s="48" t="str">
        <f>IF(B234="","",COUNTIF($B$7:B234,B234))</f>
        <v/>
      </c>
      <c r="P234" s="48" t="str">
        <f t="shared" si="17"/>
        <v/>
      </c>
      <c r="Q234" s="48" t="str">
        <f t="shared" si="18"/>
        <v/>
      </c>
      <c r="R234" s="48" t="str">
        <f t="shared" si="19"/>
        <v/>
      </c>
    </row>
    <row r="235" spans="1:18" ht="16" x14ac:dyDescent="0.2">
      <c r="A235" s="50"/>
      <c r="B235" s="47"/>
      <c r="C235" s="48" t="str">
        <f>IF(B235="","",IFERROR(INDEX(Tenants!$B$6:$B$35,MATCH(B235,Tenants!$A$6:$A$35,0)),"Unit not found"))</f>
        <v/>
      </c>
      <c r="D235" s="48" t="str">
        <f>IF(B235="","",IF(J235="Y","(vacant)",IFERROR(INDEX(Tenants!$C$6:$C$35,MATCH(B235,Tenants!$A$6:$A$35,0)),"")))</f>
        <v/>
      </c>
      <c r="E235" s="56"/>
      <c r="F235" s="56"/>
      <c r="G235" s="56"/>
      <c r="H235" s="50"/>
      <c r="I235" s="47"/>
      <c r="J235" s="47"/>
      <c r="K235" s="48" t="str">
        <f ca="1">IF(B235="","",IF(UPPER(J235)="Y","Vacant",IF(AND(G235&gt;0,G235&gt;=E235+F235),IF(AND(H235&lt;&gt;"",A235&lt;&gt;"",H235&gt;A235+Settings!$C$7),"Paid late","Paid"),IF(G235&gt;0,"Partial",IF(AND(A235&lt;&gt;"",TODAY()&gt;A235+Settings!$C$7),"Unpaid","Due")))))</f>
        <v/>
      </c>
      <c r="L235" s="52" t="str">
        <f t="shared" si="15"/>
        <v/>
      </c>
      <c r="M235" s="47"/>
      <c r="N235" s="48" t="str">
        <f t="shared" si="16"/>
        <v/>
      </c>
      <c r="O235" s="48" t="str">
        <f>IF(B235="","",COUNTIF($B$7:B235,B235))</f>
        <v/>
      </c>
      <c r="P235" s="48" t="str">
        <f t="shared" si="17"/>
        <v/>
      </c>
      <c r="Q235" s="48" t="str">
        <f t="shared" si="18"/>
        <v/>
      </c>
      <c r="R235" s="48" t="str">
        <f t="shared" si="19"/>
        <v/>
      </c>
    </row>
    <row r="236" spans="1:18" ht="16" x14ac:dyDescent="0.2">
      <c r="A236" s="50"/>
      <c r="B236" s="47"/>
      <c r="C236" s="48" t="str">
        <f>IF(B236="","",IFERROR(INDEX(Tenants!$B$6:$B$35,MATCH(B236,Tenants!$A$6:$A$35,0)),"Unit not found"))</f>
        <v/>
      </c>
      <c r="D236" s="48" t="str">
        <f>IF(B236="","",IF(J236="Y","(vacant)",IFERROR(INDEX(Tenants!$C$6:$C$35,MATCH(B236,Tenants!$A$6:$A$35,0)),"")))</f>
        <v/>
      </c>
      <c r="E236" s="56"/>
      <c r="F236" s="56"/>
      <c r="G236" s="56"/>
      <c r="H236" s="50"/>
      <c r="I236" s="47"/>
      <c r="J236" s="47"/>
      <c r="K236" s="48" t="str">
        <f ca="1">IF(B236="","",IF(UPPER(J236)="Y","Vacant",IF(AND(G236&gt;0,G236&gt;=E236+F236),IF(AND(H236&lt;&gt;"",A236&lt;&gt;"",H236&gt;A236+Settings!$C$7),"Paid late","Paid"),IF(G236&gt;0,"Partial",IF(AND(A236&lt;&gt;"",TODAY()&gt;A236+Settings!$C$7),"Unpaid","Due")))))</f>
        <v/>
      </c>
      <c r="L236" s="52" t="str">
        <f t="shared" si="15"/>
        <v/>
      </c>
      <c r="M236" s="47"/>
      <c r="N236" s="48" t="str">
        <f t="shared" si="16"/>
        <v/>
      </c>
      <c r="O236" s="48" t="str">
        <f>IF(B236="","",COUNTIF($B$7:B236,B236))</f>
        <v/>
      </c>
      <c r="P236" s="48" t="str">
        <f t="shared" si="17"/>
        <v/>
      </c>
      <c r="Q236" s="48" t="str">
        <f t="shared" si="18"/>
        <v/>
      </c>
      <c r="R236" s="48" t="str">
        <f t="shared" si="19"/>
        <v/>
      </c>
    </row>
    <row r="237" spans="1:18" ht="16" x14ac:dyDescent="0.2">
      <c r="A237" s="50"/>
      <c r="B237" s="47"/>
      <c r="C237" s="48" t="str">
        <f>IF(B237="","",IFERROR(INDEX(Tenants!$B$6:$B$35,MATCH(B237,Tenants!$A$6:$A$35,0)),"Unit not found"))</f>
        <v/>
      </c>
      <c r="D237" s="48" t="str">
        <f>IF(B237="","",IF(J237="Y","(vacant)",IFERROR(INDEX(Tenants!$C$6:$C$35,MATCH(B237,Tenants!$A$6:$A$35,0)),"")))</f>
        <v/>
      </c>
      <c r="E237" s="56"/>
      <c r="F237" s="56"/>
      <c r="G237" s="56"/>
      <c r="H237" s="50"/>
      <c r="I237" s="47"/>
      <c r="J237" s="47"/>
      <c r="K237" s="48" t="str">
        <f ca="1">IF(B237="","",IF(UPPER(J237)="Y","Vacant",IF(AND(G237&gt;0,G237&gt;=E237+F237),IF(AND(H237&lt;&gt;"",A237&lt;&gt;"",H237&gt;A237+Settings!$C$7),"Paid late","Paid"),IF(G237&gt;0,"Partial",IF(AND(A237&lt;&gt;"",TODAY()&gt;A237+Settings!$C$7),"Unpaid","Due")))))</f>
        <v/>
      </c>
      <c r="L237" s="52" t="str">
        <f t="shared" si="15"/>
        <v/>
      </c>
      <c r="M237" s="47"/>
      <c r="N237" s="48" t="str">
        <f t="shared" si="16"/>
        <v/>
      </c>
      <c r="O237" s="48" t="str">
        <f>IF(B237="","",COUNTIF($B$7:B237,B237))</f>
        <v/>
      </c>
      <c r="P237" s="48" t="str">
        <f t="shared" si="17"/>
        <v/>
      </c>
      <c r="Q237" s="48" t="str">
        <f t="shared" si="18"/>
        <v/>
      </c>
      <c r="R237" s="48" t="str">
        <f t="shared" si="19"/>
        <v/>
      </c>
    </row>
    <row r="238" spans="1:18" ht="16" x14ac:dyDescent="0.2">
      <c r="A238" s="50"/>
      <c r="B238" s="47"/>
      <c r="C238" s="48" t="str">
        <f>IF(B238="","",IFERROR(INDEX(Tenants!$B$6:$B$35,MATCH(B238,Tenants!$A$6:$A$35,0)),"Unit not found"))</f>
        <v/>
      </c>
      <c r="D238" s="48" t="str">
        <f>IF(B238="","",IF(J238="Y","(vacant)",IFERROR(INDEX(Tenants!$C$6:$C$35,MATCH(B238,Tenants!$A$6:$A$35,0)),"")))</f>
        <v/>
      </c>
      <c r="E238" s="56"/>
      <c r="F238" s="56"/>
      <c r="G238" s="56"/>
      <c r="H238" s="50"/>
      <c r="I238" s="47"/>
      <c r="J238" s="47"/>
      <c r="K238" s="48" t="str">
        <f ca="1">IF(B238="","",IF(UPPER(J238)="Y","Vacant",IF(AND(G238&gt;0,G238&gt;=E238+F238),IF(AND(H238&lt;&gt;"",A238&lt;&gt;"",H238&gt;A238+Settings!$C$7),"Paid late","Paid"),IF(G238&gt;0,"Partial",IF(AND(A238&lt;&gt;"",TODAY()&gt;A238+Settings!$C$7),"Unpaid","Due")))))</f>
        <v/>
      </c>
      <c r="L238" s="52" t="str">
        <f t="shared" si="15"/>
        <v/>
      </c>
      <c r="M238" s="47"/>
      <c r="N238" s="48" t="str">
        <f t="shared" si="16"/>
        <v/>
      </c>
      <c r="O238" s="48" t="str">
        <f>IF(B238="","",COUNTIF($B$7:B238,B238))</f>
        <v/>
      </c>
      <c r="P238" s="48" t="str">
        <f t="shared" si="17"/>
        <v/>
      </c>
      <c r="Q238" s="48" t="str">
        <f t="shared" si="18"/>
        <v/>
      </c>
      <c r="R238" s="48" t="str">
        <f t="shared" si="19"/>
        <v/>
      </c>
    </row>
    <row r="239" spans="1:18" ht="16" x14ac:dyDescent="0.2">
      <c r="A239" s="50"/>
      <c r="B239" s="47"/>
      <c r="C239" s="48" t="str">
        <f>IF(B239="","",IFERROR(INDEX(Tenants!$B$6:$B$35,MATCH(B239,Tenants!$A$6:$A$35,0)),"Unit not found"))</f>
        <v/>
      </c>
      <c r="D239" s="48" t="str">
        <f>IF(B239="","",IF(J239="Y","(vacant)",IFERROR(INDEX(Tenants!$C$6:$C$35,MATCH(B239,Tenants!$A$6:$A$35,0)),"")))</f>
        <v/>
      </c>
      <c r="E239" s="56"/>
      <c r="F239" s="56"/>
      <c r="G239" s="56"/>
      <c r="H239" s="50"/>
      <c r="I239" s="47"/>
      <c r="J239" s="47"/>
      <c r="K239" s="48" t="str">
        <f ca="1">IF(B239="","",IF(UPPER(J239)="Y","Vacant",IF(AND(G239&gt;0,G239&gt;=E239+F239),IF(AND(H239&lt;&gt;"",A239&lt;&gt;"",H239&gt;A239+Settings!$C$7),"Paid late","Paid"),IF(G239&gt;0,"Partial",IF(AND(A239&lt;&gt;"",TODAY()&gt;A239+Settings!$C$7),"Unpaid","Due")))))</f>
        <v/>
      </c>
      <c r="L239" s="52" t="str">
        <f t="shared" si="15"/>
        <v/>
      </c>
      <c r="M239" s="47"/>
      <c r="N239" s="48" t="str">
        <f t="shared" si="16"/>
        <v/>
      </c>
      <c r="O239" s="48" t="str">
        <f>IF(B239="","",COUNTIF($B$7:B239,B239))</f>
        <v/>
      </c>
      <c r="P239" s="48" t="str">
        <f t="shared" si="17"/>
        <v/>
      </c>
      <c r="Q239" s="48" t="str">
        <f t="shared" si="18"/>
        <v/>
      </c>
      <c r="R239" s="48" t="str">
        <f t="shared" si="19"/>
        <v/>
      </c>
    </row>
    <row r="240" spans="1:18" ht="16" x14ac:dyDescent="0.2">
      <c r="A240" s="50"/>
      <c r="B240" s="47"/>
      <c r="C240" s="48" t="str">
        <f>IF(B240="","",IFERROR(INDEX(Tenants!$B$6:$B$35,MATCH(B240,Tenants!$A$6:$A$35,0)),"Unit not found"))</f>
        <v/>
      </c>
      <c r="D240" s="48" t="str">
        <f>IF(B240="","",IF(J240="Y","(vacant)",IFERROR(INDEX(Tenants!$C$6:$C$35,MATCH(B240,Tenants!$A$6:$A$35,0)),"")))</f>
        <v/>
      </c>
      <c r="E240" s="56"/>
      <c r="F240" s="56"/>
      <c r="G240" s="56"/>
      <c r="H240" s="50"/>
      <c r="I240" s="47"/>
      <c r="J240" s="47"/>
      <c r="K240" s="48" t="str">
        <f ca="1">IF(B240="","",IF(UPPER(J240)="Y","Vacant",IF(AND(G240&gt;0,G240&gt;=E240+F240),IF(AND(H240&lt;&gt;"",A240&lt;&gt;"",H240&gt;A240+Settings!$C$7),"Paid late","Paid"),IF(G240&gt;0,"Partial",IF(AND(A240&lt;&gt;"",TODAY()&gt;A240+Settings!$C$7),"Unpaid","Due")))))</f>
        <v/>
      </c>
      <c r="L240" s="52" t="str">
        <f t="shared" si="15"/>
        <v/>
      </c>
      <c r="M240" s="47"/>
      <c r="N240" s="48" t="str">
        <f t="shared" si="16"/>
        <v/>
      </c>
      <c r="O240" s="48" t="str">
        <f>IF(B240="","",COUNTIF($B$7:B240,B240))</f>
        <v/>
      </c>
      <c r="P240" s="48" t="str">
        <f t="shared" si="17"/>
        <v/>
      </c>
      <c r="Q240" s="48" t="str">
        <f t="shared" si="18"/>
        <v/>
      </c>
      <c r="R240" s="48" t="str">
        <f t="shared" si="19"/>
        <v/>
      </c>
    </row>
    <row r="241" spans="1:18" ht="16" x14ac:dyDescent="0.2">
      <c r="A241" s="50"/>
      <c r="B241" s="47"/>
      <c r="C241" s="48" t="str">
        <f>IF(B241="","",IFERROR(INDEX(Tenants!$B$6:$B$35,MATCH(B241,Tenants!$A$6:$A$35,0)),"Unit not found"))</f>
        <v/>
      </c>
      <c r="D241" s="48" t="str">
        <f>IF(B241="","",IF(J241="Y","(vacant)",IFERROR(INDEX(Tenants!$C$6:$C$35,MATCH(B241,Tenants!$A$6:$A$35,0)),"")))</f>
        <v/>
      </c>
      <c r="E241" s="56"/>
      <c r="F241" s="56"/>
      <c r="G241" s="56"/>
      <c r="H241" s="50"/>
      <c r="I241" s="47"/>
      <c r="J241" s="47"/>
      <c r="K241" s="48" t="str">
        <f ca="1">IF(B241="","",IF(UPPER(J241)="Y","Vacant",IF(AND(G241&gt;0,G241&gt;=E241+F241),IF(AND(H241&lt;&gt;"",A241&lt;&gt;"",H241&gt;A241+Settings!$C$7),"Paid late","Paid"),IF(G241&gt;0,"Partial",IF(AND(A241&lt;&gt;"",TODAY()&gt;A241+Settings!$C$7),"Unpaid","Due")))))</f>
        <v/>
      </c>
      <c r="L241" s="52" t="str">
        <f t="shared" si="15"/>
        <v/>
      </c>
      <c r="M241" s="47"/>
      <c r="N241" s="48" t="str">
        <f t="shared" si="16"/>
        <v/>
      </c>
      <c r="O241" s="48" t="str">
        <f>IF(B241="","",COUNTIF($B$7:B241,B241))</f>
        <v/>
      </c>
      <c r="P241" s="48" t="str">
        <f t="shared" si="17"/>
        <v/>
      </c>
      <c r="Q241" s="48" t="str">
        <f t="shared" si="18"/>
        <v/>
      </c>
      <c r="R241" s="48" t="str">
        <f t="shared" si="19"/>
        <v/>
      </c>
    </row>
    <row r="242" spans="1:18" ht="16" x14ac:dyDescent="0.2">
      <c r="A242" s="50"/>
      <c r="B242" s="47"/>
      <c r="C242" s="48" t="str">
        <f>IF(B242="","",IFERROR(INDEX(Tenants!$B$6:$B$35,MATCH(B242,Tenants!$A$6:$A$35,0)),"Unit not found"))</f>
        <v/>
      </c>
      <c r="D242" s="48" t="str">
        <f>IF(B242="","",IF(J242="Y","(vacant)",IFERROR(INDEX(Tenants!$C$6:$C$35,MATCH(B242,Tenants!$A$6:$A$35,0)),"")))</f>
        <v/>
      </c>
      <c r="E242" s="56"/>
      <c r="F242" s="56"/>
      <c r="G242" s="56"/>
      <c r="H242" s="50"/>
      <c r="I242" s="47"/>
      <c r="J242" s="47"/>
      <c r="K242" s="48" t="str">
        <f ca="1">IF(B242="","",IF(UPPER(J242)="Y","Vacant",IF(AND(G242&gt;0,G242&gt;=E242+F242),IF(AND(H242&lt;&gt;"",A242&lt;&gt;"",H242&gt;A242+Settings!$C$7),"Paid late","Paid"),IF(G242&gt;0,"Partial",IF(AND(A242&lt;&gt;"",TODAY()&gt;A242+Settings!$C$7),"Unpaid","Due")))))</f>
        <v/>
      </c>
      <c r="L242" s="52" t="str">
        <f t="shared" si="15"/>
        <v/>
      </c>
      <c r="M242" s="47"/>
      <c r="N242" s="48" t="str">
        <f t="shared" si="16"/>
        <v/>
      </c>
      <c r="O242" s="48" t="str">
        <f>IF(B242="","",COUNTIF($B$7:B242,B242))</f>
        <v/>
      </c>
      <c r="P242" s="48" t="str">
        <f t="shared" si="17"/>
        <v/>
      </c>
      <c r="Q242" s="48" t="str">
        <f t="shared" si="18"/>
        <v/>
      </c>
      <c r="R242" s="48" t="str">
        <f t="shared" si="19"/>
        <v/>
      </c>
    </row>
    <row r="243" spans="1:18" ht="16" x14ac:dyDescent="0.2">
      <c r="A243" s="50"/>
      <c r="B243" s="47"/>
      <c r="C243" s="48" t="str">
        <f>IF(B243="","",IFERROR(INDEX(Tenants!$B$6:$B$35,MATCH(B243,Tenants!$A$6:$A$35,0)),"Unit not found"))</f>
        <v/>
      </c>
      <c r="D243" s="48" t="str">
        <f>IF(B243="","",IF(J243="Y","(vacant)",IFERROR(INDEX(Tenants!$C$6:$C$35,MATCH(B243,Tenants!$A$6:$A$35,0)),"")))</f>
        <v/>
      </c>
      <c r="E243" s="56"/>
      <c r="F243" s="56"/>
      <c r="G243" s="56"/>
      <c r="H243" s="50"/>
      <c r="I243" s="47"/>
      <c r="J243" s="47"/>
      <c r="K243" s="48" t="str">
        <f ca="1">IF(B243="","",IF(UPPER(J243)="Y","Vacant",IF(AND(G243&gt;0,G243&gt;=E243+F243),IF(AND(H243&lt;&gt;"",A243&lt;&gt;"",H243&gt;A243+Settings!$C$7),"Paid late","Paid"),IF(G243&gt;0,"Partial",IF(AND(A243&lt;&gt;"",TODAY()&gt;A243+Settings!$C$7),"Unpaid","Due")))))</f>
        <v/>
      </c>
      <c r="L243" s="52" t="str">
        <f t="shared" si="15"/>
        <v/>
      </c>
      <c r="M243" s="47"/>
      <c r="N243" s="48" t="str">
        <f t="shared" si="16"/>
        <v/>
      </c>
      <c r="O243" s="48" t="str">
        <f>IF(B243="","",COUNTIF($B$7:B243,B243))</f>
        <v/>
      </c>
      <c r="P243" s="48" t="str">
        <f t="shared" si="17"/>
        <v/>
      </c>
      <c r="Q243" s="48" t="str">
        <f t="shared" si="18"/>
        <v/>
      </c>
      <c r="R243" s="48" t="str">
        <f t="shared" si="19"/>
        <v/>
      </c>
    </row>
    <row r="244" spans="1:18" ht="16" x14ac:dyDescent="0.2">
      <c r="A244" s="50"/>
      <c r="B244" s="47"/>
      <c r="C244" s="48" t="str">
        <f>IF(B244="","",IFERROR(INDEX(Tenants!$B$6:$B$35,MATCH(B244,Tenants!$A$6:$A$35,0)),"Unit not found"))</f>
        <v/>
      </c>
      <c r="D244" s="48" t="str">
        <f>IF(B244="","",IF(J244="Y","(vacant)",IFERROR(INDEX(Tenants!$C$6:$C$35,MATCH(B244,Tenants!$A$6:$A$35,0)),"")))</f>
        <v/>
      </c>
      <c r="E244" s="56"/>
      <c r="F244" s="56"/>
      <c r="G244" s="56"/>
      <c r="H244" s="50"/>
      <c r="I244" s="47"/>
      <c r="J244" s="47"/>
      <c r="K244" s="48" t="str">
        <f ca="1">IF(B244="","",IF(UPPER(J244)="Y","Vacant",IF(AND(G244&gt;0,G244&gt;=E244+F244),IF(AND(H244&lt;&gt;"",A244&lt;&gt;"",H244&gt;A244+Settings!$C$7),"Paid late","Paid"),IF(G244&gt;0,"Partial",IF(AND(A244&lt;&gt;"",TODAY()&gt;A244+Settings!$C$7),"Unpaid","Due")))))</f>
        <v/>
      </c>
      <c r="L244" s="52" t="str">
        <f t="shared" si="15"/>
        <v/>
      </c>
      <c r="M244" s="47"/>
      <c r="N244" s="48" t="str">
        <f t="shared" si="16"/>
        <v/>
      </c>
      <c r="O244" s="48" t="str">
        <f>IF(B244="","",COUNTIF($B$7:B244,B244))</f>
        <v/>
      </c>
      <c r="P244" s="48" t="str">
        <f t="shared" si="17"/>
        <v/>
      </c>
      <c r="Q244" s="48" t="str">
        <f t="shared" si="18"/>
        <v/>
      </c>
      <c r="R244" s="48" t="str">
        <f t="shared" si="19"/>
        <v/>
      </c>
    </row>
    <row r="245" spans="1:18" ht="16" x14ac:dyDescent="0.2">
      <c r="A245" s="50"/>
      <c r="B245" s="47"/>
      <c r="C245" s="48" t="str">
        <f>IF(B245="","",IFERROR(INDEX(Tenants!$B$6:$B$35,MATCH(B245,Tenants!$A$6:$A$35,0)),"Unit not found"))</f>
        <v/>
      </c>
      <c r="D245" s="48" t="str">
        <f>IF(B245="","",IF(J245="Y","(vacant)",IFERROR(INDEX(Tenants!$C$6:$C$35,MATCH(B245,Tenants!$A$6:$A$35,0)),"")))</f>
        <v/>
      </c>
      <c r="E245" s="56"/>
      <c r="F245" s="56"/>
      <c r="G245" s="56"/>
      <c r="H245" s="50"/>
      <c r="I245" s="47"/>
      <c r="J245" s="47"/>
      <c r="K245" s="48" t="str">
        <f ca="1">IF(B245="","",IF(UPPER(J245)="Y","Vacant",IF(AND(G245&gt;0,G245&gt;=E245+F245),IF(AND(H245&lt;&gt;"",A245&lt;&gt;"",H245&gt;A245+Settings!$C$7),"Paid late","Paid"),IF(G245&gt;0,"Partial",IF(AND(A245&lt;&gt;"",TODAY()&gt;A245+Settings!$C$7),"Unpaid","Due")))))</f>
        <v/>
      </c>
      <c r="L245" s="52" t="str">
        <f t="shared" si="15"/>
        <v/>
      </c>
      <c r="M245" s="47"/>
      <c r="N245" s="48" t="str">
        <f t="shared" si="16"/>
        <v/>
      </c>
      <c r="O245" s="48" t="str">
        <f>IF(B245="","",COUNTIF($B$7:B245,B245))</f>
        <v/>
      </c>
      <c r="P245" s="48" t="str">
        <f t="shared" si="17"/>
        <v/>
      </c>
      <c r="Q245" s="48" t="str">
        <f t="shared" si="18"/>
        <v/>
      </c>
      <c r="R245" s="48" t="str">
        <f t="shared" si="19"/>
        <v/>
      </c>
    </row>
    <row r="246" spans="1:18" ht="16" x14ac:dyDescent="0.2">
      <c r="A246" s="50"/>
      <c r="B246" s="47"/>
      <c r="C246" s="48" t="str">
        <f>IF(B246="","",IFERROR(INDEX(Tenants!$B$6:$B$35,MATCH(B246,Tenants!$A$6:$A$35,0)),"Unit not found"))</f>
        <v/>
      </c>
      <c r="D246" s="48" t="str">
        <f>IF(B246="","",IF(J246="Y","(vacant)",IFERROR(INDEX(Tenants!$C$6:$C$35,MATCH(B246,Tenants!$A$6:$A$35,0)),"")))</f>
        <v/>
      </c>
      <c r="E246" s="56"/>
      <c r="F246" s="56"/>
      <c r="G246" s="56"/>
      <c r="H246" s="50"/>
      <c r="I246" s="47"/>
      <c r="J246" s="47"/>
      <c r="K246" s="48" t="str">
        <f ca="1">IF(B246="","",IF(UPPER(J246)="Y","Vacant",IF(AND(G246&gt;0,G246&gt;=E246+F246),IF(AND(H246&lt;&gt;"",A246&lt;&gt;"",H246&gt;A246+Settings!$C$7),"Paid late","Paid"),IF(G246&gt;0,"Partial",IF(AND(A246&lt;&gt;"",TODAY()&gt;A246+Settings!$C$7),"Unpaid","Due")))))</f>
        <v/>
      </c>
      <c r="L246" s="52" t="str">
        <f t="shared" si="15"/>
        <v/>
      </c>
      <c r="M246" s="47"/>
      <c r="N246" s="48" t="str">
        <f t="shared" si="16"/>
        <v/>
      </c>
      <c r="O246" s="48" t="str">
        <f>IF(B246="","",COUNTIF($B$7:B246,B246))</f>
        <v/>
      </c>
      <c r="P246" s="48" t="str">
        <f t="shared" si="17"/>
        <v/>
      </c>
      <c r="Q246" s="48" t="str">
        <f t="shared" si="18"/>
        <v/>
      </c>
      <c r="R246" s="48" t="str">
        <f t="shared" si="19"/>
        <v/>
      </c>
    </row>
    <row r="247" spans="1:18" ht="16" x14ac:dyDescent="0.2">
      <c r="A247" s="50"/>
      <c r="B247" s="47"/>
      <c r="C247" s="48" t="str">
        <f>IF(B247="","",IFERROR(INDEX(Tenants!$B$6:$B$35,MATCH(B247,Tenants!$A$6:$A$35,0)),"Unit not found"))</f>
        <v/>
      </c>
      <c r="D247" s="48" t="str">
        <f>IF(B247="","",IF(J247="Y","(vacant)",IFERROR(INDEX(Tenants!$C$6:$C$35,MATCH(B247,Tenants!$A$6:$A$35,0)),"")))</f>
        <v/>
      </c>
      <c r="E247" s="56"/>
      <c r="F247" s="56"/>
      <c r="G247" s="56"/>
      <c r="H247" s="50"/>
      <c r="I247" s="47"/>
      <c r="J247" s="47"/>
      <c r="K247" s="48" t="str">
        <f ca="1">IF(B247="","",IF(UPPER(J247)="Y","Vacant",IF(AND(G247&gt;0,G247&gt;=E247+F247),IF(AND(H247&lt;&gt;"",A247&lt;&gt;"",H247&gt;A247+Settings!$C$7),"Paid late","Paid"),IF(G247&gt;0,"Partial",IF(AND(A247&lt;&gt;"",TODAY()&gt;A247+Settings!$C$7),"Unpaid","Due")))))</f>
        <v/>
      </c>
      <c r="L247" s="52" t="str">
        <f t="shared" si="15"/>
        <v/>
      </c>
      <c r="M247" s="47"/>
      <c r="N247" s="48" t="str">
        <f t="shared" si="16"/>
        <v/>
      </c>
      <c r="O247" s="48" t="str">
        <f>IF(B247="","",COUNTIF($B$7:B247,B247))</f>
        <v/>
      </c>
      <c r="P247" s="48" t="str">
        <f t="shared" si="17"/>
        <v/>
      </c>
      <c r="Q247" s="48" t="str">
        <f t="shared" si="18"/>
        <v/>
      </c>
      <c r="R247" s="48" t="str">
        <f t="shared" si="19"/>
        <v/>
      </c>
    </row>
    <row r="248" spans="1:18" ht="16" x14ac:dyDescent="0.2">
      <c r="A248" s="50"/>
      <c r="B248" s="47"/>
      <c r="C248" s="48" t="str">
        <f>IF(B248="","",IFERROR(INDEX(Tenants!$B$6:$B$35,MATCH(B248,Tenants!$A$6:$A$35,0)),"Unit not found"))</f>
        <v/>
      </c>
      <c r="D248" s="48" t="str">
        <f>IF(B248="","",IF(J248="Y","(vacant)",IFERROR(INDEX(Tenants!$C$6:$C$35,MATCH(B248,Tenants!$A$6:$A$35,0)),"")))</f>
        <v/>
      </c>
      <c r="E248" s="56"/>
      <c r="F248" s="56"/>
      <c r="G248" s="56"/>
      <c r="H248" s="50"/>
      <c r="I248" s="47"/>
      <c r="J248" s="47"/>
      <c r="K248" s="48" t="str">
        <f ca="1">IF(B248="","",IF(UPPER(J248)="Y","Vacant",IF(AND(G248&gt;0,G248&gt;=E248+F248),IF(AND(H248&lt;&gt;"",A248&lt;&gt;"",H248&gt;A248+Settings!$C$7),"Paid late","Paid"),IF(G248&gt;0,"Partial",IF(AND(A248&lt;&gt;"",TODAY()&gt;A248+Settings!$C$7),"Unpaid","Due")))))</f>
        <v/>
      </c>
      <c r="L248" s="52" t="str">
        <f t="shared" si="15"/>
        <v/>
      </c>
      <c r="M248" s="47"/>
      <c r="N248" s="48" t="str">
        <f t="shared" si="16"/>
        <v/>
      </c>
      <c r="O248" s="48" t="str">
        <f>IF(B248="","",COUNTIF($B$7:B248,B248))</f>
        <v/>
      </c>
      <c r="P248" s="48" t="str">
        <f t="shared" si="17"/>
        <v/>
      </c>
      <c r="Q248" s="48" t="str">
        <f t="shared" si="18"/>
        <v/>
      </c>
      <c r="R248" s="48" t="str">
        <f t="shared" si="19"/>
        <v/>
      </c>
    </row>
    <row r="249" spans="1:18" ht="16" x14ac:dyDescent="0.2">
      <c r="A249" s="50"/>
      <c r="B249" s="47"/>
      <c r="C249" s="48" t="str">
        <f>IF(B249="","",IFERROR(INDEX(Tenants!$B$6:$B$35,MATCH(B249,Tenants!$A$6:$A$35,0)),"Unit not found"))</f>
        <v/>
      </c>
      <c r="D249" s="48" t="str">
        <f>IF(B249="","",IF(J249="Y","(vacant)",IFERROR(INDEX(Tenants!$C$6:$C$35,MATCH(B249,Tenants!$A$6:$A$35,0)),"")))</f>
        <v/>
      </c>
      <c r="E249" s="56"/>
      <c r="F249" s="56"/>
      <c r="G249" s="56"/>
      <c r="H249" s="50"/>
      <c r="I249" s="47"/>
      <c r="J249" s="47"/>
      <c r="K249" s="48" t="str">
        <f ca="1">IF(B249="","",IF(UPPER(J249)="Y","Vacant",IF(AND(G249&gt;0,G249&gt;=E249+F249),IF(AND(H249&lt;&gt;"",A249&lt;&gt;"",H249&gt;A249+Settings!$C$7),"Paid late","Paid"),IF(G249&gt;0,"Partial",IF(AND(A249&lt;&gt;"",TODAY()&gt;A249+Settings!$C$7),"Unpaid","Due")))))</f>
        <v/>
      </c>
      <c r="L249" s="52" t="str">
        <f t="shared" si="15"/>
        <v/>
      </c>
      <c r="M249" s="47"/>
      <c r="N249" s="48" t="str">
        <f t="shared" si="16"/>
        <v/>
      </c>
      <c r="O249" s="48" t="str">
        <f>IF(B249="","",COUNTIF($B$7:B249,B249))</f>
        <v/>
      </c>
      <c r="P249" s="48" t="str">
        <f t="shared" si="17"/>
        <v/>
      </c>
      <c r="Q249" s="48" t="str">
        <f t="shared" si="18"/>
        <v/>
      </c>
      <c r="R249" s="48" t="str">
        <f t="shared" si="19"/>
        <v/>
      </c>
    </row>
    <row r="250" spans="1:18" ht="16" x14ac:dyDescent="0.2">
      <c r="A250" s="50"/>
      <c r="B250" s="47"/>
      <c r="C250" s="48" t="str">
        <f>IF(B250="","",IFERROR(INDEX(Tenants!$B$6:$B$35,MATCH(B250,Tenants!$A$6:$A$35,0)),"Unit not found"))</f>
        <v/>
      </c>
      <c r="D250" s="48" t="str">
        <f>IF(B250="","",IF(J250="Y","(vacant)",IFERROR(INDEX(Tenants!$C$6:$C$35,MATCH(B250,Tenants!$A$6:$A$35,0)),"")))</f>
        <v/>
      </c>
      <c r="E250" s="56"/>
      <c r="F250" s="56"/>
      <c r="G250" s="56"/>
      <c r="H250" s="50"/>
      <c r="I250" s="47"/>
      <c r="J250" s="47"/>
      <c r="K250" s="48" t="str">
        <f ca="1">IF(B250="","",IF(UPPER(J250)="Y","Vacant",IF(AND(G250&gt;0,G250&gt;=E250+F250),IF(AND(H250&lt;&gt;"",A250&lt;&gt;"",H250&gt;A250+Settings!$C$7),"Paid late","Paid"),IF(G250&gt;0,"Partial",IF(AND(A250&lt;&gt;"",TODAY()&gt;A250+Settings!$C$7),"Unpaid","Due")))))</f>
        <v/>
      </c>
      <c r="L250" s="52" t="str">
        <f t="shared" si="15"/>
        <v/>
      </c>
      <c r="M250" s="47"/>
      <c r="N250" s="48" t="str">
        <f t="shared" si="16"/>
        <v/>
      </c>
      <c r="O250" s="48" t="str">
        <f>IF(B250="","",COUNTIF($B$7:B250,B250))</f>
        <v/>
      </c>
      <c r="P250" s="48" t="str">
        <f t="shared" si="17"/>
        <v/>
      </c>
      <c r="Q250" s="48" t="str">
        <f t="shared" si="18"/>
        <v/>
      </c>
      <c r="R250" s="48" t="str">
        <f t="shared" si="19"/>
        <v/>
      </c>
    </row>
    <row r="251" spans="1:18" ht="16" x14ac:dyDescent="0.2">
      <c r="A251" s="50"/>
      <c r="B251" s="47"/>
      <c r="C251" s="48" t="str">
        <f>IF(B251="","",IFERROR(INDEX(Tenants!$B$6:$B$35,MATCH(B251,Tenants!$A$6:$A$35,0)),"Unit not found"))</f>
        <v/>
      </c>
      <c r="D251" s="48" t="str">
        <f>IF(B251="","",IF(J251="Y","(vacant)",IFERROR(INDEX(Tenants!$C$6:$C$35,MATCH(B251,Tenants!$A$6:$A$35,0)),"")))</f>
        <v/>
      </c>
      <c r="E251" s="56"/>
      <c r="F251" s="56"/>
      <c r="G251" s="56"/>
      <c r="H251" s="50"/>
      <c r="I251" s="47"/>
      <c r="J251" s="47"/>
      <c r="K251" s="48" t="str">
        <f ca="1">IF(B251="","",IF(UPPER(J251)="Y","Vacant",IF(AND(G251&gt;0,G251&gt;=E251+F251),IF(AND(H251&lt;&gt;"",A251&lt;&gt;"",H251&gt;A251+Settings!$C$7),"Paid late","Paid"),IF(G251&gt;0,"Partial",IF(AND(A251&lt;&gt;"",TODAY()&gt;A251+Settings!$C$7),"Unpaid","Due")))))</f>
        <v/>
      </c>
      <c r="L251" s="52" t="str">
        <f t="shared" si="15"/>
        <v/>
      </c>
      <c r="M251" s="47"/>
      <c r="N251" s="48" t="str">
        <f t="shared" si="16"/>
        <v/>
      </c>
      <c r="O251" s="48" t="str">
        <f>IF(B251="","",COUNTIF($B$7:B251,B251))</f>
        <v/>
      </c>
      <c r="P251" s="48" t="str">
        <f t="shared" si="17"/>
        <v/>
      </c>
      <c r="Q251" s="48" t="str">
        <f t="shared" si="18"/>
        <v/>
      </c>
      <c r="R251" s="48" t="str">
        <f t="shared" si="19"/>
        <v/>
      </c>
    </row>
    <row r="252" spans="1:18" ht="16" x14ac:dyDescent="0.2">
      <c r="A252" s="50"/>
      <c r="B252" s="47"/>
      <c r="C252" s="48" t="str">
        <f>IF(B252="","",IFERROR(INDEX(Tenants!$B$6:$B$35,MATCH(B252,Tenants!$A$6:$A$35,0)),"Unit not found"))</f>
        <v/>
      </c>
      <c r="D252" s="48" t="str">
        <f>IF(B252="","",IF(J252="Y","(vacant)",IFERROR(INDEX(Tenants!$C$6:$C$35,MATCH(B252,Tenants!$A$6:$A$35,0)),"")))</f>
        <v/>
      </c>
      <c r="E252" s="56"/>
      <c r="F252" s="56"/>
      <c r="G252" s="56"/>
      <c r="H252" s="50"/>
      <c r="I252" s="47"/>
      <c r="J252" s="47"/>
      <c r="K252" s="48" t="str">
        <f ca="1">IF(B252="","",IF(UPPER(J252)="Y","Vacant",IF(AND(G252&gt;0,G252&gt;=E252+F252),IF(AND(H252&lt;&gt;"",A252&lt;&gt;"",H252&gt;A252+Settings!$C$7),"Paid late","Paid"),IF(G252&gt;0,"Partial",IF(AND(A252&lt;&gt;"",TODAY()&gt;A252+Settings!$C$7),"Unpaid","Due")))))</f>
        <v/>
      </c>
      <c r="L252" s="52" t="str">
        <f t="shared" si="15"/>
        <v/>
      </c>
      <c r="M252" s="47"/>
      <c r="N252" s="48" t="str">
        <f t="shared" si="16"/>
        <v/>
      </c>
      <c r="O252" s="48" t="str">
        <f>IF(B252="","",COUNTIF($B$7:B252,B252))</f>
        <v/>
      </c>
      <c r="P252" s="48" t="str">
        <f t="shared" si="17"/>
        <v/>
      </c>
      <c r="Q252" s="48" t="str">
        <f t="shared" si="18"/>
        <v/>
      </c>
      <c r="R252" s="48" t="str">
        <f t="shared" si="19"/>
        <v/>
      </c>
    </row>
    <row r="253" spans="1:18" ht="16" x14ac:dyDescent="0.2">
      <c r="A253" s="50"/>
      <c r="B253" s="47"/>
      <c r="C253" s="48" t="str">
        <f>IF(B253="","",IFERROR(INDEX(Tenants!$B$6:$B$35,MATCH(B253,Tenants!$A$6:$A$35,0)),"Unit not found"))</f>
        <v/>
      </c>
      <c r="D253" s="48" t="str">
        <f>IF(B253="","",IF(J253="Y","(vacant)",IFERROR(INDEX(Tenants!$C$6:$C$35,MATCH(B253,Tenants!$A$6:$A$35,0)),"")))</f>
        <v/>
      </c>
      <c r="E253" s="56"/>
      <c r="F253" s="56"/>
      <c r="G253" s="56"/>
      <c r="H253" s="50"/>
      <c r="I253" s="47"/>
      <c r="J253" s="47"/>
      <c r="K253" s="48" t="str">
        <f ca="1">IF(B253="","",IF(UPPER(J253)="Y","Vacant",IF(AND(G253&gt;0,G253&gt;=E253+F253),IF(AND(H253&lt;&gt;"",A253&lt;&gt;"",H253&gt;A253+Settings!$C$7),"Paid late","Paid"),IF(G253&gt;0,"Partial",IF(AND(A253&lt;&gt;"",TODAY()&gt;A253+Settings!$C$7),"Unpaid","Due")))))</f>
        <v/>
      </c>
      <c r="L253" s="52" t="str">
        <f t="shared" si="15"/>
        <v/>
      </c>
      <c r="M253" s="47"/>
      <c r="N253" s="48" t="str">
        <f t="shared" si="16"/>
        <v/>
      </c>
      <c r="O253" s="48" t="str">
        <f>IF(B253="","",COUNTIF($B$7:B253,B253))</f>
        <v/>
      </c>
      <c r="P253" s="48" t="str">
        <f t="shared" si="17"/>
        <v/>
      </c>
      <c r="Q253" s="48" t="str">
        <f t="shared" si="18"/>
        <v/>
      </c>
      <c r="R253" s="48" t="str">
        <f t="shared" si="19"/>
        <v/>
      </c>
    </row>
    <row r="254" spans="1:18" ht="16" x14ac:dyDescent="0.2">
      <c r="A254" s="50"/>
      <c r="B254" s="47"/>
      <c r="C254" s="48" t="str">
        <f>IF(B254="","",IFERROR(INDEX(Tenants!$B$6:$B$35,MATCH(B254,Tenants!$A$6:$A$35,0)),"Unit not found"))</f>
        <v/>
      </c>
      <c r="D254" s="48" t="str">
        <f>IF(B254="","",IF(J254="Y","(vacant)",IFERROR(INDEX(Tenants!$C$6:$C$35,MATCH(B254,Tenants!$A$6:$A$35,0)),"")))</f>
        <v/>
      </c>
      <c r="E254" s="56"/>
      <c r="F254" s="56"/>
      <c r="G254" s="56"/>
      <c r="H254" s="50"/>
      <c r="I254" s="47"/>
      <c r="J254" s="47"/>
      <c r="K254" s="48" t="str">
        <f ca="1">IF(B254="","",IF(UPPER(J254)="Y","Vacant",IF(AND(G254&gt;0,G254&gt;=E254+F254),IF(AND(H254&lt;&gt;"",A254&lt;&gt;"",H254&gt;A254+Settings!$C$7),"Paid late","Paid"),IF(G254&gt;0,"Partial",IF(AND(A254&lt;&gt;"",TODAY()&gt;A254+Settings!$C$7),"Unpaid","Due")))))</f>
        <v/>
      </c>
      <c r="L254" s="52" t="str">
        <f t="shared" si="15"/>
        <v/>
      </c>
      <c r="M254" s="47"/>
      <c r="N254" s="48" t="str">
        <f t="shared" si="16"/>
        <v/>
      </c>
      <c r="O254" s="48" t="str">
        <f>IF(B254="","",COUNTIF($B$7:B254,B254))</f>
        <v/>
      </c>
      <c r="P254" s="48" t="str">
        <f t="shared" si="17"/>
        <v/>
      </c>
      <c r="Q254" s="48" t="str">
        <f t="shared" si="18"/>
        <v/>
      </c>
      <c r="R254" s="48" t="str">
        <f t="shared" si="19"/>
        <v/>
      </c>
    </row>
    <row r="255" spans="1:18" ht="16" x14ac:dyDescent="0.2">
      <c r="A255" s="50"/>
      <c r="B255" s="47"/>
      <c r="C255" s="48" t="str">
        <f>IF(B255="","",IFERROR(INDEX(Tenants!$B$6:$B$35,MATCH(B255,Tenants!$A$6:$A$35,0)),"Unit not found"))</f>
        <v/>
      </c>
      <c r="D255" s="48" t="str">
        <f>IF(B255="","",IF(J255="Y","(vacant)",IFERROR(INDEX(Tenants!$C$6:$C$35,MATCH(B255,Tenants!$A$6:$A$35,0)),"")))</f>
        <v/>
      </c>
      <c r="E255" s="56"/>
      <c r="F255" s="56"/>
      <c r="G255" s="56"/>
      <c r="H255" s="50"/>
      <c r="I255" s="47"/>
      <c r="J255" s="47"/>
      <c r="K255" s="48" t="str">
        <f ca="1">IF(B255="","",IF(UPPER(J255)="Y","Vacant",IF(AND(G255&gt;0,G255&gt;=E255+F255),IF(AND(H255&lt;&gt;"",A255&lt;&gt;"",H255&gt;A255+Settings!$C$7),"Paid late","Paid"),IF(G255&gt;0,"Partial",IF(AND(A255&lt;&gt;"",TODAY()&gt;A255+Settings!$C$7),"Unpaid","Due")))))</f>
        <v/>
      </c>
      <c r="L255" s="52" t="str">
        <f t="shared" si="15"/>
        <v/>
      </c>
      <c r="M255" s="47"/>
      <c r="N255" s="48" t="str">
        <f t="shared" si="16"/>
        <v/>
      </c>
      <c r="O255" s="48" t="str">
        <f>IF(B255="","",COUNTIF($B$7:B255,B255))</f>
        <v/>
      </c>
      <c r="P255" s="48" t="str">
        <f t="shared" si="17"/>
        <v/>
      </c>
      <c r="Q255" s="48" t="str">
        <f t="shared" si="18"/>
        <v/>
      </c>
      <c r="R255" s="48" t="str">
        <f t="shared" si="19"/>
        <v/>
      </c>
    </row>
    <row r="256" spans="1:18" ht="16" x14ac:dyDescent="0.2">
      <c r="A256" s="50"/>
      <c r="B256" s="47"/>
      <c r="C256" s="48" t="str">
        <f>IF(B256="","",IFERROR(INDEX(Tenants!$B$6:$B$35,MATCH(B256,Tenants!$A$6:$A$35,0)),"Unit not found"))</f>
        <v/>
      </c>
      <c r="D256" s="48" t="str">
        <f>IF(B256="","",IF(J256="Y","(vacant)",IFERROR(INDEX(Tenants!$C$6:$C$35,MATCH(B256,Tenants!$A$6:$A$35,0)),"")))</f>
        <v/>
      </c>
      <c r="E256" s="56"/>
      <c r="F256" s="56"/>
      <c r="G256" s="56"/>
      <c r="H256" s="50"/>
      <c r="I256" s="47"/>
      <c r="J256" s="47"/>
      <c r="K256" s="48" t="str">
        <f ca="1">IF(B256="","",IF(UPPER(J256)="Y","Vacant",IF(AND(G256&gt;0,G256&gt;=E256+F256),IF(AND(H256&lt;&gt;"",A256&lt;&gt;"",H256&gt;A256+Settings!$C$7),"Paid late","Paid"),IF(G256&gt;0,"Partial",IF(AND(A256&lt;&gt;"",TODAY()&gt;A256+Settings!$C$7),"Unpaid","Due")))))</f>
        <v/>
      </c>
      <c r="L256" s="52" t="str">
        <f t="shared" si="15"/>
        <v/>
      </c>
      <c r="M256" s="47"/>
      <c r="N256" s="48" t="str">
        <f t="shared" si="16"/>
        <v/>
      </c>
      <c r="O256" s="48" t="str">
        <f>IF(B256="","",COUNTIF($B$7:B256,B256))</f>
        <v/>
      </c>
      <c r="P256" s="48" t="str">
        <f t="shared" si="17"/>
        <v/>
      </c>
      <c r="Q256" s="48" t="str">
        <f t="shared" si="18"/>
        <v/>
      </c>
      <c r="R256" s="48" t="str">
        <f t="shared" si="19"/>
        <v/>
      </c>
    </row>
    <row r="257" spans="1:18" ht="16" x14ac:dyDescent="0.2">
      <c r="A257" s="50"/>
      <c r="B257" s="47"/>
      <c r="C257" s="48" t="str">
        <f>IF(B257="","",IFERROR(INDEX(Tenants!$B$6:$B$35,MATCH(B257,Tenants!$A$6:$A$35,0)),"Unit not found"))</f>
        <v/>
      </c>
      <c r="D257" s="48" t="str">
        <f>IF(B257="","",IF(J257="Y","(vacant)",IFERROR(INDEX(Tenants!$C$6:$C$35,MATCH(B257,Tenants!$A$6:$A$35,0)),"")))</f>
        <v/>
      </c>
      <c r="E257" s="56"/>
      <c r="F257" s="56"/>
      <c r="G257" s="56"/>
      <c r="H257" s="50"/>
      <c r="I257" s="47"/>
      <c r="J257" s="47"/>
      <c r="K257" s="48" t="str">
        <f ca="1">IF(B257="","",IF(UPPER(J257)="Y","Vacant",IF(AND(G257&gt;0,G257&gt;=E257+F257),IF(AND(H257&lt;&gt;"",A257&lt;&gt;"",H257&gt;A257+Settings!$C$7),"Paid late","Paid"),IF(G257&gt;0,"Partial",IF(AND(A257&lt;&gt;"",TODAY()&gt;A257+Settings!$C$7),"Unpaid","Due")))))</f>
        <v/>
      </c>
      <c r="L257" s="52" t="str">
        <f t="shared" si="15"/>
        <v/>
      </c>
      <c r="M257" s="47"/>
      <c r="N257" s="48" t="str">
        <f t="shared" si="16"/>
        <v/>
      </c>
      <c r="O257" s="48" t="str">
        <f>IF(B257="","",COUNTIF($B$7:B257,B257))</f>
        <v/>
      </c>
      <c r="P257" s="48" t="str">
        <f t="shared" si="17"/>
        <v/>
      </c>
      <c r="Q257" s="48" t="str">
        <f t="shared" si="18"/>
        <v/>
      </c>
      <c r="R257" s="48" t="str">
        <f t="shared" si="19"/>
        <v/>
      </c>
    </row>
    <row r="258" spans="1:18" ht="16" x14ac:dyDescent="0.2">
      <c r="A258" s="50"/>
      <c r="B258" s="47"/>
      <c r="C258" s="48" t="str">
        <f>IF(B258="","",IFERROR(INDEX(Tenants!$B$6:$B$35,MATCH(B258,Tenants!$A$6:$A$35,0)),"Unit not found"))</f>
        <v/>
      </c>
      <c r="D258" s="48" t="str">
        <f>IF(B258="","",IF(J258="Y","(vacant)",IFERROR(INDEX(Tenants!$C$6:$C$35,MATCH(B258,Tenants!$A$6:$A$35,0)),"")))</f>
        <v/>
      </c>
      <c r="E258" s="56"/>
      <c r="F258" s="56"/>
      <c r="G258" s="56"/>
      <c r="H258" s="50"/>
      <c r="I258" s="47"/>
      <c r="J258" s="47"/>
      <c r="K258" s="48" t="str">
        <f ca="1">IF(B258="","",IF(UPPER(J258)="Y","Vacant",IF(AND(G258&gt;0,G258&gt;=E258+F258),IF(AND(H258&lt;&gt;"",A258&lt;&gt;"",H258&gt;A258+Settings!$C$7),"Paid late","Paid"),IF(G258&gt;0,"Partial",IF(AND(A258&lt;&gt;"",TODAY()&gt;A258+Settings!$C$7),"Unpaid","Due")))))</f>
        <v/>
      </c>
      <c r="L258" s="52" t="str">
        <f t="shared" si="15"/>
        <v/>
      </c>
      <c r="M258" s="47"/>
      <c r="N258" s="48" t="str">
        <f t="shared" si="16"/>
        <v/>
      </c>
      <c r="O258" s="48" t="str">
        <f>IF(B258="","",COUNTIF($B$7:B258,B258))</f>
        <v/>
      </c>
      <c r="P258" s="48" t="str">
        <f t="shared" si="17"/>
        <v/>
      </c>
      <c r="Q258" s="48" t="str">
        <f t="shared" si="18"/>
        <v/>
      </c>
      <c r="R258" s="48" t="str">
        <f t="shared" si="19"/>
        <v/>
      </c>
    </row>
    <row r="259" spans="1:18" ht="16" x14ac:dyDescent="0.2">
      <c r="A259" s="50"/>
      <c r="B259" s="47"/>
      <c r="C259" s="48" t="str">
        <f>IF(B259="","",IFERROR(INDEX(Tenants!$B$6:$B$35,MATCH(B259,Tenants!$A$6:$A$35,0)),"Unit not found"))</f>
        <v/>
      </c>
      <c r="D259" s="48" t="str">
        <f>IF(B259="","",IF(J259="Y","(vacant)",IFERROR(INDEX(Tenants!$C$6:$C$35,MATCH(B259,Tenants!$A$6:$A$35,0)),"")))</f>
        <v/>
      </c>
      <c r="E259" s="56"/>
      <c r="F259" s="56"/>
      <c r="G259" s="56"/>
      <c r="H259" s="50"/>
      <c r="I259" s="47"/>
      <c r="J259" s="47"/>
      <c r="K259" s="48" t="str">
        <f ca="1">IF(B259="","",IF(UPPER(J259)="Y","Vacant",IF(AND(G259&gt;0,G259&gt;=E259+F259),IF(AND(H259&lt;&gt;"",A259&lt;&gt;"",H259&gt;A259+Settings!$C$7),"Paid late","Paid"),IF(G259&gt;0,"Partial",IF(AND(A259&lt;&gt;"",TODAY()&gt;A259+Settings!$C$7),"Unpaid","Due")))))</f>
        <v/>
      </c>
      <c r="L259" s="52" t="str">
        <f t="shared" si="15"/>
        <v/>
      </c>
      <c r="M259" s="47"/>
      <c r="N259" s="48" t="str">
        <f t="shared" si="16"/>
        <v/>
      </c>
      <c r="O259" s="48" t="str">
        <f>IF(B259="","",COUNTIF($B$7:B259,B259))</f>
        <v/>
      </c>
      <c r="P259" s="48" t="str">
        <f t="shared" si="17"/>
        <v/>
      </c>
      <c r="Q259" s="48" t="str">
        <f t="shared" si="18"/>
        <v/>
      </c>
      <c r="R259" s="48" t="str">
        <f t="shared" si="19"/>
        <v/>
      </c>
    </row>
    <row r="260" spans="1:18" ht="16" x14ac:dyDescent="0.2">
      <c r="A260" s="50"/>
      <c r="B260" s="47"/>
      <c r="C260" s="48" t="str">
        <f>IF(B260="","",IFERROR(INDEX(Tenants!$B$6:$B$35,MATCH(B260,Tenants!$A$6:$A$35,0)),"Unit not found"))</f>
        <v/>
      </c>
      <c r="D260" s="48" t="str">
        <f>IF(B260="","",IF(J260="Y","(vacant)",IFERROR(INDEX(Tenants!$C$6:$C$35,MATCH(B260,Tenants!$A$6:$A$35,0)),"")))</f>
        <v/>
      </c>
      <c r="E260" s="56"/>
      <c r="F260" s="56"/>
      <c r="G260" s="56"/>
      <c r="H260" s="50"/>
      <c r="I260" s="47"/>
      <c r="J260" s="47"/>
      <c r="K260" s="48" t="str">
        <f ca="1">IF(B260="","",IF(UPPER(J260)="Y","Vacant",IF(AND(G260&gt;0,G260&gt;=E260+F260),IF(AND(H260&lt;&gt;"",A260&lt;&gt;"",H260&gt;A260+Settings!$C$7),"Paid late","Paid"),IF(G260&gt;0,"Partial",IF(AND(A260&lt;&gt;"",TODAY()&gt;A260+Settings!$C$7),"Unpaid","Due")))))</f>
        <v/>
      </c>
      <c r="L260" s="52" t="str">
        <f t="shared" si="15"/>
        <v/>
      </c>
      <c r="M260" s="47"/>
      <c r="N260" s="48" t="str">
        <f t="shared" si="16"/>
        <v/>
      </c>
      <c r="O260" s="48" t="str">
        <f>IF(B260="","",COUNTIF($B$7:B260,B260))</f>
        <v/>
      </c>
      <c r="P260" s="48" t="str">
        <f t="shared" si="17"/>
        <v/>
      </c>
      <c r="Q260" s="48" t="str">
        <f t="shared" si="18"/>
        <v/>
      </c>
      <c r="R260" s="48" t="str">
        <f t="shared" si="19"/>
        <v/>
      </c>
    </row>
    <row r="261" spans="1:18" ht="16" x14ac:dyDescent="0.2">
      <c r="A261" s="50"/>
      <c r="B261" s="47"/>
      <c r="C261" s="48" t="str">
        <f>IF(B261="","",IFERROR(INDEX(Tenants!$B$6:$B$35,MATCH(B261,Tenants!$A$6:$A$35,0)),"Unit not found"))</f>
        <v/>
      </c>
      <c r="D261" s="48" t="str">
        <f>IF(B261="","",IF(J261="Y","(vacant)",IFERROR(INDEX(Tenants!$C$6:$C$35,MATCH(B261,Tenants!$A$6:$A$35,0)),"")))</f>
        <v/>
      </c>
      <c r="E261" s="56"/>
      <c r="F261" s="56"/>
      <c r="G261" s="56"/>
      <c r="H261" s="50"/>
      <c r="I261" s="47"/>
      <c r="J261" s="47"/>
      <c r="K261" s="48" t="str">
        <f ca="1">IF(B261="","",IF(UPPER(J261)="Y","Vacant",IF(AND(G261&gt;0,G261&gt;=E261+F261),IF(AND(H261&lt;&gt;"",A261&lt;&gt;"",H261&gt;A261+Settings!$C$7),"Paid late","Paid"),IF(G261&gt;0,"Partial",IF(AND(A261&lt;&gt;"",TODAY()&gt;A261+Settings!$C$7),"Unpaid","Due")))))</f>
        <v/>
      </c>
      <c r="L261" s="52" t="str">
        <f t="shared" si="15"/>
        <v/>
      </c>
      <c r="M261" s="47"/>
      <c r="N261" s="48" t="str">
        <f t="shared" si="16"/>
        <v/>
      </c>
      <c r="O261" s="48" t="str">
        <f>IF(B261="","",COUNTIF($B$7:B261,B261))</f>
        <v/>
      </c>
      <c r="P261" s="48" t="str">
        <f t="shared" si="17"/>
        <v/>
      </c>
      <c r="Q261" s="48" t="str">
        <f t="shared" si="18"/>
        <v/>
      </c>
      <c r="R261" s="48" t="str">
        <f t="shared" si="19"/>
        <v/>
      </c>
    </row>
    <row r="262" spans="1:18" ht="16" x14ac:dyDescent="0.2">
      <c r="A262" s="50"/>
      <c r="B262" s="47"/>
      <c r="C262" s="48" t="str">
        <f>IF(B262="","",IFERROR(INDEX(Tenants!$B$6:$B$35,MATCH(B262,Tenants!$A$6:$A$35,0)),"Unit not found"))</f>
        <v/>
      </c>
      <c r="D262" s="48" t="str">
        <f>IF(B262="","",IF(J262="Y","(vacant)",IFERROR(INDEX(Tenants!$C$6:$C$35,MATCH(B262,Tenants!$A$6:$A$35,0)),"")))</f>
        <v/>
      </c>
      <c r="E262" s="56"/>
      <c r="F262" s="56"/>
      <c r="G262" s="56"/>
      <c r="H262" s="50"/>
      <c r="I262" s="47"/>
      <c r="J262" s="47"/>
      <c r="K262" s="48" t="str">
        <f ca="1">IF(B262="","",IF(UPPER(J262)="Y","Vacant",IF(AND(G262&gt;0,G262&gt;=E262+F262),IF(AND(H262&lt;&gt;"",A262&lt;&gt;"",H262&gt;A262+Settings!$C$7),"Paid late","Paid"),IF(G262&gt;0,"Partial",IF(AND(A262&lt;&gt;"",TODAY()&gt;A262+Settings!$C$7),"Unpaid","Due")))))</f>
        <v/>
      </c>
      <c r="L262" s="52" t="str">
        <f t="shared" si="15"/>
        <v/>
      </c>
      <c r="M262" s="47"/>
      <c r="N262" s="48" t="str">
        <f t="shared" si="16"/>
        <v/>
      </c>
      <c r="O262" s="48" t="str">
        <f>IF(B262="","",COUNTIF($B$7:B262,B262))</f>
        <v/>
      </c>
      <c r="P262" s="48" t="str">
        <f t="shared" si="17"/>
        <v/>
      </c>
      <c r="Q262" s="48" t="str">
        <f t="shared" si="18"/>
        <v/>
      </c>
      <c r="R262" s="48" t="str">
        <f t="shared" si="19"/>
        <v/>
      </c>
    </row>
    <row r="263" spans="1:18" ht="16" x14ac:dyDescent="0.2">
      <c r="A263" s="50"/>
      <c r="B263" s="47"/>
      <c r="C263" s="48" t="str">
        <f>IF(B263="","",IFERROR(INDEX(Tenants!$B$6:$B$35,MATCH(B263,Tenants!$A$6:$A$35,0)),"Unit not found"))</f>
        <v/>
      </c>
      <c r="D263" s="48" t="str">
        <f>IF(B263="","",IF(J263="Y","(vacant)",IFERROR(INDEX(Tenants!$C$6:$C$35,MATCH(B263,Tenants!$A$6:$A$35,0)),"")))</f>
        <v/>
      </c>
      <c r="E263" s="56"/>
      <c r="F263" s="56"/>
      <c r="G263" s="56"/>
      <c r="H263" s="50"/>
      <c r="I263" s="47"/>
      <c r="J263" s="47"/>
      <c r="K263" s="48" t="str">
        <f ca="1">IF(B263="","",IF(UPPER(J263)="Y","Vacant",IF(AND(G263&gt;0,G263&gt;=E263+F263),IF(AND(H263&lt;&gt;"",A263&lt;&gt;"",H263&gt;A263+Settings!$C$7),"Paid late","Paid"),IF(G263&gt;0,"Partial",IF(AND(A263&lt;&gt;"",TODAY()&gt;A263+Settings!$C$7),"Unpaid","Due")))))</f>
        <v/>
      </c>
      <c r="L263" s="52" t="str">
        <f t="shared" ref="L263:L326" si="20">IF(OR(B263="",UPPER(J263)="Y"),"",E263+F263-G263)</f>
        <v/>
      </c>
      <c r="M263" s="47"/>
      <c r="N263" s="48" t="str">
        <f t="shared" ref="N263:N326" si="21">IF(OR(B263="",G263=0,G263=""),"",YEAR(IF(H263="",A263,H263)))</f>
        <v/>
      </c>
      <c r="O263" s="48" t="str">
        <f>IF(B263="","",COUNTIF($B$7:B263,B263))</f>
        <v/>
      </c>
      <c r="P263" s="48" t="str">
        <f t="shared" ref="P263:P326" si="22">IF(B263="","",B263&amp;"|"&amp;O263)</f>
        <v/>
      </c>
      <c r="Q263" s="48" t="str">
        <f t="shared" ref="Q263:Q326" si="23">IF(OR(B263="",G263=0,G263=""),"",YEAR(IF(H263="",A263,H263))*100+MONTH(IF(H263="",A263,H263)))</f>
        <v/>
      </c>
      <c r="R263" s="48" t="str">
        <f t="shared" ref="R263:R326" si="24">IF(OR(B263="",A263=""),"",YEAR(A263))</f>
        <v/>
      </c>
    </row>
    <row r="264" spans="1:18" ht="16" x14ac:dyDescent="0.2">
      <c r="A264" s="50"/>
      <c r="B264" s="47"/>
      <c r="C264" s="48" t="str">
        <f>IF(B264="","",IFERROR(INDEX(Tenants!$B$6:$B$35,MATCH(B264,Tenants!$A$6:$A$35,0)),"Unit not found"))</f>
        <v/>
      </c>
      <c r="D264" s="48" t="str">
        <f>IF(B264="","",IF(J264="Y","(vacant)",IFERROR(INDEX(Tenants!$C$6:$C$35,MATCH(B264,Tenants!$A$6:$A$35,0)),"")))</f>
        <v/>
      </c>
      <c r="E264" s="56"/>
      <c r="F264" s="56"/>
      <c r="G264" s="56"/>
      <c r="H264" s="50"/>
      <c r="I264" s="47"/>
      <c r="J264" s="47"/>
      <c r="K264" s="48" t="str">
        <f ca="1">IF(B264="","",IF(UPPER(J264)="Y","Vacant",IF(AND(G264&gt;0,G264&gt;=E264+F264),IF(AND(H264&lt;&gt;"",A264&lt;&gt;"",H264&gt;A264+Settings!$C$7),"Paid late","Paid"),IF(G264&gt;0,"Partial",IF(AND(A264&lt;&gt;"",TODAY()&gt;A264+Settings!$C$7),"Unpaid","Due")))))</f>
        <v/>
      </c>
      <c r="L264" s="52" t="str">
        <f t="shared" si="20"/>
        <v/>
      </c>
      <c r="M264" s="47"/>
      <c r="N264" s="48" t="str">
        <f t="shared" si="21"/>
        <v/>
      </c>
      <c r="O264" s="48" t="str">
        <f>IF(B264="","",COUNTIF($B$7:B264,B264))</f>
        <v/>
      </c>
      <c r="P264" s="48" t="str">
        <f t="shared" si="22"/>
        <v/>
      </c>
      <c r="Q264" s="48" t="str">
        <f t="shared" si="23"/>
        <v/>
      </c>
      <c r="R264" s="48" t="str">
        <f t="shared" si="24"/>
        <v/>
      </c>
    </row>
    <row r="265" spans="1:18" ht="16" x14ac:dyDescent="0.2">
      <c r="A265" s="50"/>
      <c r="B265" s="47"/>
      <c r="C265" s="48" t="str">
        <f>IF(B265="","",IFERROR(INDEX(Tenants!$B$6:$B$35,MATCH(B265,Tenants!$A$6:$A$35,0)),"Unit not found"))</f>
        <v/>
      </c>
      <c r="D265" s="48" t="str">
        <f>IF(B265="","",IF(J265="Y","(vacant)",IFERROR(INDEX(Tenants!$C$6:$C$35,MATCH(B265,Tenants!$A$6:$A$35,0)),"")))</f>
        <v/>
      </c>
      <c r="E265" s="56"/>
      <c r="F265" s="56"/>
      <c r="G265" s="56"/>
      <c r="H265" s="50"/>
      <c r="I265" s="47"/>
      <c r="J265" s="47"/>
      <c r="K265" s="48" t="str">
        <f ca="1">IF(B265="","",IF(UPPER(J265)="Y","Vacant",IF(AND(G265&gt;0,G265&gt;=E265+F265),IF(AND(H265&lt;&gt;"",A265&lt;&gt;"",H265&gt;A265+Settings!$C$7),"Paid late","Paid"),IF(G265&gt;0,"Partial",IF(AND(A265&lt;&gt;"",TODAY()&gt;A265+Settings!$C$7),"Unpaid","Due")))))</f>
        <v/>
      </c>
      <c r="L265" s="52" t="str">
        <f t="shared" si="20"/>
        <v/>
      </c>
      <c r="M265" s="47"/>
      <c r="N265" s="48" t="str">
        <f t="shared" si="21"/>
        <v/>
      </c>
      <c r="O265" s="48" t="str">
        <f>IF(B265="","",COUNTIF($B$7:B265,B265))</f>
        <v/>
      </c>
      <c r="P265" s="48" t="str">
        <f t="shared" si="22"/>
        <v/>
      </c>
      <c r="Q265" s="48" t="str">
        <f t="shared" si="23"/>
        <v/>
      </c>
      <c r="R265" s="48" t="str">
        <f t="shared" si="24"/>
        <v/>
      </c>
    </row>
    <row r="266" spans="1:18" ht="16" x14ac:dyDescent="0.2">
      <c r="A266" s="50"/>
      <c r="B266" s="47"/>
      <c r="C266" s="48" t="str">
        <f>IF(B266="","",IFERROR(INDEX(Tenants!$B$6:$B$35,MATCH(B266,Tenants!$A$6:$A$35,0)),"Unit not found"))</f>
        <v/>
      </c>
      <c r="D266" s="48" t="str">
        <f>IF(B266="","",IF(J266="Y","(vacant)",IFERROR(INDEX(Tenants!$C$6:$C$35,MATCH(B266,Tenants!$A$6:$A$35,0)),"")))</f>
        <v/>
      </c>
      <c r="E266" s="56"/>
      <c r="F266" s="56"/>
      <c r="G266" s="56"/>
      <c r="H266" s="50"/>
      <c r="I266" s="47"/>
      <c r="J266" s="47"/>
      <c r="K266" s="48" t="str">
        <f ca="1">IF(B266="","",IF(UPPER(J266)="Y","Vacant",IF(AND(G266&gt;0,G266&gt;=E266+F266),IF(AND(H266&lt;&gt;"",A266&lt;&gt;"",H266&gt;A266+Settings!$C$7),"Paid late","Paid"),IF(G266&gt;0,"Partial",IF(AND(A266&lt;&gt;"",TODAY()&gt;A266+Settings!$C$7),"Unpaid","Due")))))</f>
        <v/>
      </c>
      <c r="L266" s="52" t="str">
        <f t="shared" si="20"/>
        <v/>
      </c>
      <c r="M266" s="47"/>
      <c r="N266" s="48" t="str">
        <f t="shared" si="21"/>
        <v/>
      </c>
      <c r="O266" s="48" t="str">
        <f>IF(B266="","",COUNTIF($B$7:B266,B266))</f>
        <v/>
      </c>
      <c r="P266" s="48" t="str">
        <f t="shared" si="22"/>
        <v/>
      </c>
      <c r="Q266" s="48" t="str">
        <f t="shared" si="23"/>
        <v/>
      </c>
      <c r="R266" s="48" t="str">
        <f t="shared" si="24"/>
        <v/>
      </c>
    </row>
    <row r="267" spans="1:18" ht="16" x14ac:dyDescent="0.2">
      <c r="A267" s="50"/>
      <c r="B267" s="47"/>
      <c r="C267" s="48" t="str">
        <f>IF(B267="","",IFERROR(INDEX(Tenants!$B$6:$B$35,MATCH(B267,Tenants!$A$6:$A$35,0)),"Unit not found"))</f>
        <v/>
      </c>
      <c r="D267" s="48" t="str">
        <f>IF(B267="","",IF(J267="Y","(vacant)",IFERROR(INDEX(Tenants!$C$6:$C$35,MATCH(B267,Tenants!$A$6:$A$35,0)),"")))</f>
        <v/>
      </c>
      <c r="E267" s="56"/>
      <c r="F267" s="56"/>
      <c r="G267" s="56"/>
      <c r="H267" s="50"/>
      <c r="I267" s="47"/>
      <c r="J267" s="47"/>
      <c r="K267" s="48" t="str">
        <f ca="1">IF(B267="","",IF(UPPER(J267)="Y","Vacant",IF(AND(G267&gt;0,G267&gt;=E267+F267),IF(AND(H267&lt;&gt;"",A267&lt;&gt;"",H267&gt;A267+Settings!$C$7),"Paid late","Paid"),IF(G267&gt;0,"Partial",IF(AND(A267&lt;&gt;"",TODAY()&gt;A267+Settings!$C$7),"Unpaid","Due")))))</f>
        <v/>
      </c>
      <c r="L267" s="52" t="str">
        <f t="shared" si="20"/>
        <v/>
      </c>
      <c r="M267" s="47"/>
      <c r="N267" s="48" t="str">
        <f t="shared" si="21"/>
        <v/>
      </c>
      <c r="O267" s="48" t="str">
        <f>IF(B267="","",COUNTIF($B$7:B267,B267))</f>
        <v/>
      </c>
      <c r="P267" s="48" t="str">
        <f t="shared" si="22"/>
        <v/>
      </c>
      <c r="Q267" s="48" t="str">
        <f t="shared" si="23"/>
        <v/>
      </c>
      <c r="R267" s="48" t="str">
        <f t="shared" si="24"/>
        <v/>
      </c>
    </row>
    <row r="268" spans="1:18" ht="16" x14ac:dyDescent="0.2">
      <c r="A268" s="50"/>
      <c r="B268" s="47"/>
      <c r="C268" s="48" t="str">
        <f>IF(B268="","",IFERROR(INDEX(Tenants!$B$6:$B$35,MATCH(B268,Tenants!$A$6:$A$35,0)),"Unit not found"))</f>
        <v/>
      </c>
      <c r="D268" s="48" t="str">
        <f>IF(B268="","",IF(J268="Y","(vacant)",IFERROR(INDEX(Tenants!$C$6:$C$35,MATCH(B268,Tenants!$A$6:$A$35,0)),"")))</f>
        <v/>
      </c>
      <c r="E268" s="56"/>
      <c r="F268" s="56"/>
      <c r="G268" s="56"/>
      <c r="H268" s="50"/>
      <c r="I268" s="47"/>
      <c r="J268" s="47"/>
      <c r="K268" s="48" t="str">
        <f ca="1">IF(B268="","",IF(UPPER(J268)="Y","Vacant",IF(AND(G268&gt;0,G268&gt;=E268+F268),IF(AND(H268&lt;&gt;"",A268&lt;&gt;"",H268&gt;A268+Settings!$C$7),"Paid late","Paid"),IF(G268&gt;0,"Partial",IF(AND(A268&lt;&gt;"",TODAY()&gt;A268+Settings!$C$7),"Unpaid","Due")))))</f>
        <v/>
      </c>
      <c r="L268" s="52" t="str">
        <f t="shared" si="20"/>
        <v/>
      </c>
      <c r="M268" s="47"/>
      <c r="N268" s="48" t="str">
        <f t="shared" si="21"/>
        <v/>
      </c>
      <c r="O268" s="48" t="str">
        <f>IF(B268="","",COUNTIF($B$7:B268,B268))</f>
        <v/>
      </c>
      <c r="P268" s="48" t="str">
        <f t="shared" si="22"/>
        <v/>
      </c>
      <c r="Q268" s="48" t="str">
        <f t="shared" si="23"/>
        <v/>
      </c>
      <c r="R268" s="48" t="str">
        <f t="shared" si="24"/>
        <v/>
      </c>
    </row>
    <row r="269" spans="1:18" ht="16" x14ac:dyDescent="0.2">
      <c r="A269" s="50"/>
      <c r="B269" s="47"/>
      <c r="C269" s="48" t="str">
        <f>IF(B269="","",IFERROR(INDEX(Tenants!$B$6:$B$35,MATCH(B269,Tenants!$A$6:$A$35,0)),"Unit not found"))</f>
        <v/>
      </c>
      <c r="D269" s="48" t="str">
        <f>IF(B269="","",IF(J269="Y","(vacant)",IFERROR(INDEX(Tenants!$C$6:$C$35,MATCH(B269,Tenants!$A$6:$A$35,0)),"")))</f>
        <v/>
      </c>
      <c r="E269" s="56"/>
      <c r="F269" s="56"/>
      <c r="G269" s="56"/>
      <c r="H269" s="50"/>
      <c r="I269" s="47"/>
      <c r="J269" s="47"/>
      <c r="K269" s="48" t="str">
        <f ca="1">IF(B269="","",IF(UPPER(J269)="Y","Vacant",IF(AND(G269&gt;0,G269&gt;=E269+F269),IF(AND(H269&lt;&gt;"",A269&lt;&gt;"",H269&gt;A269+Settings!$C$7),"Paid late","Paid"),IF(G269&gt;0,"Partial",IF(AND(A269&lt;&gt;"",TODAY()&gt;A269+Settings!$C$7),"Unpaid","Due")))))</f>
        <v/>
      </c>
      <c r="L269" s="52" t="str">
        <f t="shared" si="20"/>
        <v/>
      </c>
      <c r="M269" s="47"/>
      <c r="N269" s="48" t="str">
        <f t="shared" si="21"/>
        <v/>
      </c>
      <c r="O269" s="48" t="str">
        <f>IF(B269="","",COUNTIF($B$7:B269,B269))</f>
        <v/>
      </c>
      <c r="P269" s="48" t="str">
        <f t="shared" si="22"/>
        <v/>
      </c>
      <c r="Q269" s="48" t="str">
        <f t="shared" si="23"/>
        <v/>
      </c>
      <c r="R269" s="48" t="str">
        <f t="shared" si="24"/>
        <v/>
      </c>
    </row>
    <row r="270" spans="1:18" ht="16" x14ac:dyDescent="0.2">
      <c r="A270" s="50"/>
      <c r="B270" s="47"/>
      <c r="C270" s="48" t="str">
        <f>IF(B270="","",IFERROR(INDEX(Tenants!$B$6:$B$35,MATCH(B270,Tenants!$A$6:$A$35,0)),"Unit not found"))</f>
        <v/>
      </c>
      <c r="D270" s="48" t="str">
        <f>IF(B270="","",IF(J270="Y","(vacant)",IFERROR(INDEX(Tenants!$C$6:$C$35,MATCH(B270,Tenants!$A$6:$A$35,0)),"")))</f>
        <v/>
      </c>
      <c r="E270" s="56"/>
      <c r="F270" s="56"/>
      <c r="G270" s="56"/>
      <c r="H270" s="50"/>
      <c r="I270" s="47"/>
      <c r="J270" s="47"/>
      <c r="K270" s="48" t="str">
        <f ca="1">IF(B270="","",IF(UPPER(J270)="Y","Vacant",IF(AND(G270&gt;0,G270&gt;=E270+F270),IF(AND(H270&lt;&gt;"",A270&lt;&gt;"",H270&gt;A270+Settings!$C$7),"Paid late","Paid"),IF(G270&gt;0,"Partial",IF(AND(A270&lt;&gt;"",TODAY()&gt;A270+Settings!$C$7),"Unpaid","Due")))))</f>
        <v/>
      </c>
      <c r="L270" s="52" t="str">
        <f t="shared" si="20"/>
        <v/>
      </c>
      <c r="M270" s="47"/>
      <c r="N270" s="48" t="str">
        <f t="shared" si="21"/>
        <v/>
      </c>
      <c r="O270" s="48" t="str">
        <f>IF(B270="","",COUNTIF($B$7:B270,B270))</f>
        <v/>
      </c>
      <c r="P270" s="48" t="str">
        <f t="shared" si="22"/>
        <v/>
      </c>
      <c r="Q270" s="48" t="str">
        <f t="shared" si="23"/>
        <v/>
      </c>
      <c r="R270" s="48" t="str">
        <f t="shared" si="24"/>
        <v/>
      </c>
    </row>
    <row r="271" spans="1:18" ht="16" x14ac:dyDescent="0.2">
      <c r="A271" s="50"/>
      <c r="B271" s="47"/>
      <c r="C271" s="48" t="str">
        <f>IF(B271="","",IFERROR(INDEX(Tenants!$B$6:$B$35,MATCH(B271,Tenants!$A$6:$A$35,0)),"Unit not found"))</f>
        <v/>
      </c>
      <c r="D271" s="48" t="str">
        <f>IF(B271="","",IF(J271="Y","(vacant)",IFERROR(INDEX(Tenants!$C$6:$C$35,MATCH(B271,Tenants!$A$6:$A$35,0)),"")))</f>
        <v/>
      </c>
      <c r="E271" s="56"/>
      <c r="F271" s="56"/>
      <c r="G271" s="56"/>
      <c r="H271" s="50"/>
      <c r="I271" s="47"/>
      <c r="J271" s="47"/>
      <c r="K271" s="48" t="str">
        <f ca="1">IF(B271="","",IF(UPPER(J271)="Y","Vacant",IF(AND(G271&gt;0,G271&gt;=E271+F271),IF(AND(H271&lt;&gt;"",A271&lt;&gt;"",H271&gt;A271+Settings!$C$7),"Paid late","Paid"),IF(G271&gt;0,"Partial",IF(AND(A271&lt;&gt;"",TODAY()&gt;A271+Settings!$C$7),"Unpaid","Due")))))</f>
        <v/>
      </c>
      <c r="L271" s="52" t="str">
        <f t="shared" si="20"/>
        <v/>
      </c>
      <c r="M271" s="47"/>
      <c r="N271" s="48" t="str">
        <f t="shared" si="21"/>
        <v/>
      </c>
      <c r="O271" s="48" t="str">
        <f>IF(B271="","",COUNTIF($B$7:B271,B271))</f>
        <v/>
      </c>
      <c r="P271" s="48" t="str">
        <f t="shared" si="22"/>
        <v/>
      </c>
      <c r="Q271" s="48" t="str">
        <f t="shared" si="23"/>
        <v/>
      </c>
      <c r="R271" s="48" t="str">
        <f t="shared" si="24"/>
        <v/>
      </c>
    </row>
    <row r="272" spans="1:18" ht="16" x14ac:dyDescent="0.2">
      <c r="A272" s="50"/>
      <c r="B272" s="47"/>
      <c r="C272" s="48" t="str">
        <f>IF(B272="","",IFERROR(INDEX(Tenants!$B$6:$B$35,MATCH(B272,Tenants!$A$6:$A$35,0)),"Unit not found"))</f>
        <v/>
      </c>
      <c r="D272" s="48" t="str">
        <f>IF(B272="","",IF(J272="Y","(vacant)",IFERROR(INDEX(Tenants!$C$6:$C$35,MATCH(B272,Tenants!$A$6:$A$35,0)),"")))</f>
        <v/>
      </c>
      <c r="E272" s="56"/>
      <c r="F272" s="56"/>
      <c r="G272" s="56"/>
      <c r="H272" s="50"/>
      <c r="I272" s="47"/>
      <c r="J272" s="47"/>
      <c r="K272" s="48" t="str">
        <f ca="1">IF(B272="","",IF(UPPER(J272)="Y","Vacant",IF(AND(G272&gt;0,G272&gt;=E272+F272),IF(AND(H272&lt;&gt;"",A272&lt;&gt;"",H272&gt;A272+Settings!$C$7),"Paid late","Paid"),IF(G272&gt;0,"Partial",IF(AND(A272&lt;&gt;"",TODAY()&gt;A272+Settings!$C$7),"Unpaid","Due")))))</f>
        <v/>
      </c>
      <c r="L272" s="52" t="str">
        <f t="shared" si="20"/>
        <v/>
      </c>
      <c r="M272" s="47"/>
      <c r="N272" s="48" t="str">
        <f t="shared" si="21"/>
        <v/>
      </c>
      <c r="O272" s="48" t="str">
        <f>IF(B272="","",COUNTIF($B$7:B272,B272))</f>
        <v/>
      </c>
      <c r="P272" s="48" t="str">
        <f t="shared" si="22"/>
        <v/>
      </c>
      <c r="Q272" s="48" t="str">
        <f t="shared" si="23"/>
        <v/>
      </c>
      <c r="R272" s="48" t="str">
        <f t="shared" si="24"/>
        <v/>
      </c>
    </row>
    <row r="273" spans="1:18" ht="16" x14ac:dyDescent="0.2">
      <c r="A273" s="50"/>
      <c r="B273" s="47"/>
      <c r="C273" s="48" t="str">
        <f>IF(B273="","",IFERROR(INDEX(Tenants!$B$6:$B$35,MATCH(B273,Tenants!$A$6:$A$35,0)),"Unit not found"))</f>
        <v/>
      </c>
      <c r="D273" s="48" t="str">
        <f>IF(B273="","",IF(J273="Y","(vacant)",IFERROR(INDEX(Tenants!$C$6:$C$35,MATCH(B273,Tenants!$A$6:$A$35,0)),"")))</f>
        <v/>
      </c>
      <c r="E273" s="56"/>
      <c r="F273" s="56"/>
      <c r="G273" s="56"/>
      <c r="H273" s="50"/>
      <c r="I273" s="47"/>
      <c r="J273" s="47"/>
      <c r="K273" s="48" t="str">
        <f ca="1">IF(B273="","",IF(UPPER(J273)="Y","Vacant",IF(AND(G273&gt;0,G273&gt;=E273+F273),IF(AND(H273&lt;&gt;"",A273&lt;&gt;"",H273&gt;A273+Settings!$C$7),"Paid late","Paid"),IF(G273&gt;0,"Partial",IF(AND(A273&lt;&gt;"",TODAY()&gt;A273+Settings!$C$7),"Unpaid","Due")))))</f>
        <v/>
      </c>
      <c r="L273" s="52" t="str">
        <f t="shared" si="20"/>
        <v/>
      </c>
      <c r="M273" s="47"/>
      <c r="N273" s="48" t="str">
        <f t="shared" si="21"/>
        <v/>
      </c>
      <c r="O273" s="48" t="str">
        <f>IF(B273="","",COUNTIF($B$7:B273,B273))</f>
        <v/>
      </c>
      <c r="P273" s="48" t="str">
        <f t="shared" si="22"/>
        <v/>
      </c>
      <c r="Q273" s="48" t="str">
        <f t="shared" si="23"/>
        <v/>
      </c>
      <c r="R273" s="48" t="str">
        <f t="shared" si="24"/>
        <v/>
      </c>
    </row>
    <row r="274" spans="1:18" ht="16" x14ac:dyDescent="0.2">
      <c r="A274" s="50"/>
      <c r="B274" s="47"/>
      <c r="C274" s="48" t="str">
        <f>IF(B274="","",IFERROR(INDEX(Tenants!$B$6:$B$35,MATCH(B274,Tenants!$A$6:$A$35,0)),"Unit not found"))</f>
        <v/>
      </c>
      <c r="D274" s="48" t="str">
        <f>IF(B274="","",IF(J274="Y","(vacant)",IFERROR(INDEX(Tenants!$C$6:$C$35,MATCH(B274,Tenants!$A$6:$A$35,0)),"")))</f>
        <v/>
      </c>
      <c r="E274" s="56"/>
      <c r="F274" s="56"/>
      <c r="G274" s="56"/>
      <c r="H274" s="50"/>
      <c r="I274" s="47"/>
      <c r="J274" s="47"/>
      <c r="K274" s="48" t="str">
        <f ca="1">IF(B274="","",IF(UPPER(J274)="Y","Vacant",IF(AND(G274&gt;0,G274&gt;=E274+F274),IF(AND(H274&lt;&gt;"",A274&lt;&gt;"",H274&gt;A274+Settings!$C$7),"Paid late","Paid"),IF(G274&gt;0,"Partial",IF(AND(A274&lt;&gt;"",TODAY()&gt;A274+Settings!$C$7),"Unpaid","Due")))))</f>
        <v/>
      </c>
      <c r="L274" s="52" t="str">
        <f t="shared" si="20"/>
        <v/>
      </c>
      <c r="M274" s="47"/>
      <c r="N274" s="48" t="str">
        <f t="shared" si="21"/>
        <v/>
      </c>
      <c r="O274" s="48" t="str">
        <f>IF(B274="","",COUNTIF($B$7:B274,B274))</f>
        <v/>
      </c>
      <c r="P274" s="48" t="str">
        <f t="shared" si="22"/>
        <v/>
      </c>
      <c r="Q274" s="48" t="str">
        <f t="shared" si="23"/>
        <v/>
      </c>
      <c r="R274" s="48" t="str">
        <f t="shared" si="24"/>
        <v/>
      </c>
    </row>
    <row r="275" spans="1:18" ht="16" x14ac:dyDescent="0.2">
      <c r="A275" s="50"/>
      <c r="B275" s="47"/>
      <c r="C275" s="48" t="str">
        <f>IF(B275="","",IFERROR(INDEX(Tenants!$B$6:$B$35,MATCH(B275,Tenants!$A$6:$A$35,0)),"Unit not found"))</f>
        <v/>
      </c>
      <c r="D275" s="48" t="str">
        <f>IF(B275="","",IF(J275="Y","(vacant)",IFERROR(INDEX(Tenants!$C$6:$C$35,MATCH(B275,Tenants!$A$6:$A$35,0)),"")))</f>
        <v/>
      </c>
      <c r="E275" s="56"/>
      <c r="F275" s="56"/>
      <c r="G275" s="56"/>
      <c r="H275" s="50"/>
      <c r="I275" s="47"/>
      <c r="J275" s="47"/>
      <c r="K275" s="48" t="str">
        <f ca="1">IF(B275="","",IF(UPPER(J275)="Y","Vacant",IF(AND(G275&gt;0,G275&gt;=E275+F275),IF(AND(H275&lt;&gt;"",A275&lt;&gt;"",H275&gt;A275+Settings!$C$7),"Paid late","Paid"),IF(G275&gt;0,"Partial",IF(AND(A275&lt;&gt;"",TODAY()&gt;A275+Settings!$C$7),"Unpaid","Due")))))</f>
        <v/>
      </c>
      <c r="L275" s="52" t="str">
        <f t="shared" si="20"/>
        <v/>
      </c>
      <c r="M275" s="47"/>
      <c r="N275" s="48" t="str">
        <f t="shared" si="21"/>
        <v/>
      </c>
      <c r="O275" s="48" t="str">
        <f>IF(B275="","",COUNTIF($B$7:B275,B275))</f>
        <v/>
      </c>
      <c r="P275" s="48" t="str">
        <f t="shared" si="22"/>
        <v/>
      </c>
      <c r="Q275" s="48" t="str">
        <f t="shared" si="23"/>
        <v/>
      </c>
      <c r="R275" s="48" t="str">
        <f t="shared" si="24"/>
        <v/>
      </c>
    </row>
    <row r="276" spans="1:18" ht="16" x14ac:dyDescent="0.2">
      <c r="A276" s="50"/>
      <c r="B276" s="47"/>
      <c r="C276" s="48" t="str">
        <f>IF(B276="","",IFERROR(INDEX(Tenants!$B$6:$B$35,MATCH(B276,Tenants!$A$6:$A$35,0)),"Unit not found"))</f>
        <v/>
      </c>
      <c r="D276" s="48" t="str">
        <f>IF(B276="","",IF(J276="Y","(vacant)",IFERROR(INDEX(Tenants!$C$6:$C$35,MATCH(B276,Tenants!$A$6:$A$35,0)),"")))</f>
        <v/>
      </c>
      <c r="E276" s="56"/>
      <c r="F276" s="56"/>
      <c r="G276" s="56"/>
      <c r="H276" s="50"/>
      <c r="I276" s="47"/>
      <c r="J276" s="47"/>
      <c r="K276" s="48" t="str">
        <f ca="1">IF(B276="","",IF(UPPER(J276)="Y","Vacant",IF(AND(G276&gt;0,G276&gt;=E276+F276),IF(AND(H276&lt;&gt;"",A276&lt;&gt;"",H276&gt;A276+Settings!$C$7),"Paid late","Paid"),IF(G276&gt;0,"Partial",IF(AND(A276&lt;&gt;"",TODAY()&gt;A276+Settings!$C$7),"Unpaid","Due")))))</f>
        <v/>
      </c>
      <c r="L276" s="52" t="str">
        <f t="shared" si="20"/>
        <v/>
      </c>
      <c r="M276" s="47"/>
      <c r="N276" s="48" t="str">
        <f t="shared" si="21"/>
        <v/>
      </c>
      <c r="O276" s="48" t="str">
        <f>IF(B276="","",COUNTIF($B$7:B276,B276))</f>
        <v/>
      </c>
      <c r="P276" s="48" t="str">
        <f t="shared" si="22"/>
        <v/>
      </c>
      <c r="Q276" s="48" t="str">
        <f t="shared" si="23"/>
        <v/>
      </c>
      <c r="R276" s="48" t="str">
        <f t="shared" si="24"/>
        <v/>
      </c>
    </row>
    <row r="277" spans="1:18" ht="16" x14ac:dyDescent="0.2">
      <c r="A277" s="50"/>
      <c r="B277" s="47"/>
      <c r="C277" s="48" t="str">
        <f>IF(B277="","",IFERROR(INDEX(Tenants!$B$6:$B$35,MATCH(B277,Tenants!$A$6:$A$35,0)),"Unit not found"))</f>
        <v/>
      </c>
      <c r="D277" s="48" t="str">
        <f>IF(B277="","",IF(J277="Y","(vacant)",IFERROR(INDEX(Tenants!$C$6:$C$35,MATCH(B277,Tenants!$A$6:$A$35,0)),"")))</f>
        <v/>
      </c>
      <c r="E277" s="56"/>
      <c r="F277" s="56"/>
      <c r="G277" s="56"/>
      <c r="H277" s="50"/>
      <c r="I277" s="47"/>
      <c r="J277" s="47"/>
      <c r="K277" s="48" t="str">
        <f ca="1">IF(B277="","",IF(UPPER(J277)="Y","Vacant",IF(AND(G277&gt;0,G277&gt;=E277+F277),IF(AND(H277&lt;&gt;"",A277&lt;&gt;"",H277&gt;A277+Settings!$C$7),"Paid late","Paid"),IF(G277&gt;0,"Partial",IF(AND(A277&lt;&gt;"",TODAY()&gt;A277+Settings!$C$7),"Unpaid","Due")))))</f>
        <v/>
      </c>
      <c r="L277" s="52" t="str">
        <f t="shared" si="20"/>
        <v/>
      </c>
      <c r="M277" s="47"/>
      <c r="N277" s="48" t="str">
        <f t="shared" si="21"/>
        <v/>
      </c>
      <c r="O277" s="48" t="str">
        <f>IF(B277="","",COUNTIF($B$7:B277,B277))</f>
        <v/>
      </c>
      <c r="P277" s="48" t="str">
        <f t="shared" si="22"/>
        <v/>
      </c>
      <c r="Q277" s="48" t="str">
        <f t="shared" si="23"/>
        <v/>
      </c>
      <c r="R277" s="48" t="str">
        <f t="shared" si="24"/>
        <v/>
      </c>
    </row>
    <row r="278" spans="1:18" ht="16" x14ac:dyDescent="0.2">
      <c r="A278" s="50"/>
      <c r="B278" s="47"/>
      <c r="C278" s="48" t="str">
        <f>IF(B278="","",IFERROR(INDEX(Tenants!$B$6:$B$35,MATCH(B278,Tenants!$A$6:$A$35,0)),"Unit not found"))</f>
        <v/>
      </c>
      <c r="D278" s="48" t="str">
        <f>IF(B278="","",IF(J278="Y","(vacant)",IFERROR(INDEX(Tenants!$C$6:$C$35,MATCH(B278,Tenants!$A$6:$A$35,0)),"")))</f>
        <v/>
      </c>
      <c r="E278" s="56"/>
      <c r="F278" s="56"/>
      <c r="G278" s="56"/>
      <c r="H278" s="50"/>
      <c r="I278" s="47"/>
      <c r="J278" s="47"/>
      <c r="K278" s="48" t="str">
        <f ca="1">IF(B278="","",IF(UPPER(J278)="Y","Vacant",IF(AND(G278&gt;0,G278&gt;=E278+F278),IF(AND(H278&lt;&gt;"",A278&lt;&gt;"",H278&gt;A278+Settings!$C$7),"Paid late","Paid"),IF(G278&gt;0,"Partial",IF(AND(A278&lt;&gt;"",TODAY()&gt;A278+Settings!$C$7),"Unpaid","Due")))))</f>
        <v/>
      </c>
      <c r="L278" s="52" t="str">
        <f t="shared" si="20"/>
        <v/>
      </c>
      <c r="M278" s="47"/>
      <c r="N278" s="48" t="str">
        <f t="shared" si="21"/>
        <v/>
      </c>
      <c r="O278" s="48" t="str">
        <f>IF(B278="","",COUNTIF($B$7:B278,B278))</f>
        <v/>
      </c>
      <c r="P278" s="48" t="str">
        <f t="shared" si="22"/>
        <v/>
      </c>
      <c r="Q278" s="48" t="str">
        <f t="shared" si="23"/>
        <v/>
      </c>
      <c r="R278" s="48" t="str">
        <f t="shared" si="24"/>
        <v/>
      </c>
    </row>
    <row r="279" spans="1:18" ht="16" x14ac:dyDescent="0.2">
      <c r="A279" s="50"/>
      <c r="B279" s="47"/>
      <c r="C279" s="48" t="str">
        <f>IF(B279="","",IFERROR(INDEX(Tenants!$B$6:$B$35,MATCH(B279,Tenants!$A$6:$A$35,0)),"Unit not found"))</f>
        <v/>
      </c>
      <c r="D279" s="48" t="str">
        <f>IF(B279="","",IF(J279="Y","(vacant)",IFERROR(INDEX(Tenants!$C$6:$C$35,MATCH(B279,Tenants!$A$6:$A$35,0)),"")))</f>
        <v/>
      </c>
      <c r="E279" s="56"/>
      <c r="F279" s="56"/>
      <c r="G279" s="56"/>
      <c r="H279" s="50"/>
      <c r="I279" s="47"/>
      <c r="J279" s="47"/>
      <c r="K279" s="48" t="str">
        <f ca="1">IF(B279="","",IF(UPPER(J279)="Y","Vacant",IF(AND(G279&gt;0,G279&gt;=E279+F279),IF(AND(H279&lt;&gt;"",A279&lt;&gt;"",H279&gt;A279+Settings!$C$7),"Paid late","Paid"),IF(G279&gt;0,"Partial",IF(AND(A279&lt;&gt;"",TODAY()&gt;A279+Settings!$C$7),"Unpaid","Due")))))</f>
        <v/>
      </c>
      <c r="L279" s="52" t="str">
        <f t="shared" si="20"/>
        <v/>
      </c>
      <c r="M279" s="47"/>
      <c r="N279" s="48" t="str">
        <f t="shared" si="21"/>
        <v/>
      </c>
      <c r="O279" s="48" t="str">
        <f>IF(B279="","",COUNTIF($B$7:B279,B279))</f>
        <v/>
      </c>
      <c r="P279" s="48" t="str">
        <f t="shared" si="22"/>
        <v/>
      </c>
      <c r="Q279" s="48" t="str">
        <f t="shared" si="23"/>
        <v/>
      </c>
      <c r="R279" s="48" t="str">
        <f t="shared" si="24"/>
        <v/>
      </c>
    </row>
    <row r="280" spans="1:18" ht="16" x14ac:dyDescent="0.2">
      <c r="A280" s="50"/>
      <c r="B280" s="47"/>
      <c r="C280" s="48" t="str">
        <f>IF(B280="","",IFERROR(INDEX(Tenants!$B$6:$B$35,MATCH(B280,Tenants!$A$6:$A$35,0)),"Unit not found"))</f>
        <v/>
      </c>
      <c r="D280" s="48" t="str">
        <f>IF(B280="","",IF(J280="Y","(vacant)",IFERROR(INDEX(Tenants!$C$6:$C$35,MATCH(B280,Tenants!$A$6:$A$35,0)),"")))</f>
        <v/>
      </c>
      <c r="E280" s="56"/>
      <c r="F280" s="56"/>
      <c r="G280" s="56"/>
      <c r="H280" s="50"/>
      <c r="I280" s="47"/>
      <c r="J280" s="47"/>
      <c r="K280" s="48" t="str">
        <f ca="1">IF(B280="","",IF(UPPER(J280)="Y","Vacant",IF(AND(G280&gt;0,G280&gt;=E280+F280),IF(AND(H280&lt;&gt;"",A280&lt;&gt;"",H280&gt;A280+Settings!$C$7),"Paid late","Paid"),IF(G280&gt;0,"Partial",IF(AND(A280&lt;&gt;"",TODAY()&gt;A280+Settings!$C$7),"Unpaid","Due")))))</f>
        <v/>
      </c>
      <c r="L280" s="52" t="str">
        <f t="shared" si="20"/>
        <v/>
      </c>
      <c r="M280" s="47"/>
      <c r="N280" s="48" t="str">
        <f t="shared" si="21"/>
        <v/>
      </c>
      <c r="O280" s="48" t="str">
        <f>IF(B280="","",COUNTIF($B$7:B280,B280))</f>
        <v/>
      </c>
      <c r="P280" s="48" t="str">
        <f t="shared" si="22"/>
        <v/>
      </c>
      <c r="Q280" s="48" t="str">
        <f t="shared" si="23"/>
        <v/>
      </c>
      <c r="R280" s="48" t="str">
        <f t="shared" si="24"/>
        <v/>
      </c>
    </row>
    <row r="281" spans="1:18" ht="16" x14ac:dyDescent="0.2">
      <c r="A281" s="50"/>
      <c r="B281" s="47"/>
      <c r="C281" s="48" t="str">
        <f>IF(B281="","",IFERROR(INDEX(Tenants!$B$6:$B$35,MATCH(B281,Tenants!$A$6:$A$35,0)),"Unit not found"))</f>
        <v/>
      </c>
      <c r="D281" s="48" t="str">
        <f>IF(B281="","",IF(J281="Y","(vacant)",IFERROR(INDEX(Tenants!$C$6:$C$35,MATCH(B281,Tenants!$A$6:$A$35,0)),"")))</f>
        <v/>
      </c>
      <c r="E281" s="56"/>
      <c r="F281" s="56"/>
      <c r="G281" s="56"/>
      <c r="H281" s="50"/>
      <c r="I281" s="47"/>
      <c r="J281" s="47"/>
      <c r="K281" s="48" t="str">
        <f ca="1">IF(B281="","",IF(UPPER(J281)="Y","Vacant",IF(AND(G281&gt;0,G281&gt;=E281+F281),IF(AND(H281&lt;&gt;"",A281&lt;&gt;"",H281&gt;A281+Settings!$C$7),"Paid late","Paid"),IF(G281&gt;0,"Partial",IF(AND(A281&lt;&gt;"",TODAY()&gt;A281+Settings!$C$7),"Unpaid","Due")))))</f>
        <v/>
      </c>
      <c r="L281" s="52" t="str">
        <f t="shared" si="20"/>
        <v/>
      </c>
      <c r="M281" s="47"/>
      <c r="N281" s="48" t="str">
        <f t="shared" si="21"/>
        <v/>
      </c>
      <c r="O281" s="48" t="str">
        <f>IF(B281="","",COUNTIF($B$7:B281,B281))</f>
        <v/>
      </c>
      <c r="P281" s="48" t="str">
        <f t="shared" si="22"/>
        <v/>
      </c>
      <c r="Q281" s="48" t="str">
        <f t="shared" si="23"/>
        <v/>
      </c>
      <c r="R281" s="48" t="str">
        <f t="shared" si="24"/>
        <v/>
      </c>
    </row>
    <row r="282" spans="1:18" ht="16" x14ac:dyDescent="0.2">
      <c r="A282" s="50"/>
      <c r="B282" s="47"/>
      <c r="C282" s="48" t="str">
        <f>IF(B282="","",IFERROR(INDEX(Tenants!$B$6:$B$35,MATCH(B282,Tenants!$A$6:$A$35,0)),"Unit not found"))</f>
        <v/>
      </c>
      <c r="D282" s="48" t="str">
        <f>IF(B282="","",IF(J282="Y","(vacant)",IFERROR(INDEX(Tenants!$C$6:$C$35,MATCH(B282,Tenants!$A$6:$A$35,0)),"")))</f>
        <v/>
      </c>
      <c r="E282" s="56"/>
      <c r="F282" s="56"/>
      <c r="G282" s="56"/>
      <c r="H282" s="50"/>
      <c r="I282" s="47"/>
      <c r="J282" s="47"/>
      <c r="K282" s="48" t="str">
        <f ca="1">IF(B282="","",IF(UPPER(J282)="Y","Vacant",IF(AND(G282&gt;0,G282&gt;=E282+F282),IF(AND(H282&lt;&gt;"",A282&lt;&gt;"",H282&gt;A282+Settings!$C$7),"Paid late","Paid"),IF(G282&gt;0,"Partial",IF(AND(A282&lt;&gt;"",TODAY()&gt;A282+Settings!$C$7),"Unpaid","Due")))))</f>
        <v/>
      </c>
      <c r="L282" s="52" t="str">
        <f t="shared" si="20"/>
        <v/>
      </c>
      <c r="M282" s="47"/>
      <c r="N282" s="48" t="str">
        <f t="shared" si="21"/>
        <v/>
      </c>
      <c r="O282" s="48" t="str">
        <f>IF(B282="","",COUNTIF($B$7:B282,B282))</f>
        <v/>
      </c>
      <c r="P282" s="48" t="str">
        <f t="shared" si="22"/>
        <v/>
      </c>
      <c r="Q282" s="48" t="str">
        <f t="shared" si="23"/>
        <v/>
      </c>
      <c r="R282" s="48" t="str">
        <f t="shared" si="24"/>
        <v/>
      </c>
    </row>
    <row r="283" spans="1:18" ht="16" x14ac:dyDescent="0.2">
      <c r="A283" s="50"/>
      <c r="B283" s="47"/>
      <c r="C283" s="48" t="str">
        <f>IF(B283="","",IFERROR(INDEX(Tenants!$B$6:$B$35,MATCH(B283,Tenants!$A$6:$A$35,0)),"Unit not found"))</f>
        <v/>
      </c>
      <c r="D283" s="48" t="str">
        <f>IF(B283="","",IF(J283="Y","(vacant)",IFERROR(INDEX(Tenants!$C$6:$C$35,MATCH(B283,Tenants!$A$6:$A$35,0)),"")))</f>
        <v/>
      </c>
      <c r="E283" s="56"/>
      <c r="F283" s="56"/>
      <c r="G283" s="56"/>
      <c r="H283" s="50"/>
      <c r="I283" s="47"/>
      <c r="J283" s="47"/>
      <c r="K283" s="48" t="str">
        <f ca="1">IF(B283="","",IF(UPPER(J283)="Y","Vacant",IF(AND(G283&gt;0,G283&gt;=E283+F283),IF(AND(H283&lt;&gt;"",A283&lt;&gt;"",H283&gt;A283+Settings!$C$7),"Paid late","Paid"),IF(G283&gt;0,"Partial",IF(AND(A283&lt;&gt;"",TODAY()&gt;A283+Settings!$C$7),"Unpaid","Due")))))</f>
        <v/>
      </c>
      <c r="L283" s="52" t="str">
        <f t="shared" si="20"/>
        <v/>
      </c>
      <c r="M283" s="47"/>
      <c r="N283" s="48" t="str">
        <f t="shared" si="21"/>
        <v/>
      </c>
      <c r="O283" s="48" t="str">
        <f>IF(B283="","",COUNTIF($B$7:B283,B283))</f>
        <v/>
      </c>
      <c r="P283" s="48" t="str">
        <f t="shared" si="22"/>
        <v/>
      </c>
      <c r="Q283" s="48" t="str">
        <f t="shared" si="23"/>
        <v/>
      </c>
      <c r="R283" s="48" t="str">
        <f t="shared" si="24"/>
        <v/>
      </c>
    </row>
    <row r="284" spans="1:18" ht="16" x14ac:dyDescent="0.2">
      <c r="A284" s="50"/>
      <c r="B284" s="47"/>
      <c r="C284" s="48" t="str">
        <f>IF(B284="","",IFERROR(INDEX(Tenants!$B$6:$B$35,MATCH(B284,Tenants!$A$6:$A$35,0)),"Unit not found"))</f>
        <v/>
      </c>
      <c r="D284" s="48" t="str">
        <f>IF(B284="","",IF(J284="Y","(vacant)",IFERROR(INDEX(Tenants!$C$6:$C$35,MATCH(B284,Tenants!$A$6:$A$35,0)),"")))</f>
        <v/>
      </c>
      <c r="E284" s="56"/>
      <c r="F284" s="56"/>
      <c r="G284" s="56"/>
      <c r="H284" s="50"/>
      <c r="I284" s="47"/>
      <c r="J284" s="47"/>
      <c r="K284" s="48" t="str">
        <f ca="1">IF(B284="","",IF(UPPER(J284)="Y","Vacant",IF(AND(G284&gt;0,G284&gt;=E284+F284),IF(AND(H284&lt;&gt;"",A284&lt;&gt;"",H284&gt;A284+Settings!$C$7),"Paid late","Paid"),IF(G284&gt;0,"Partial",IF(AND(A284&lt;&gt;"",TODAY()&gt;A284+Settings!$C$7),"Unpaid","Due")))))</f>
        <v/>
      </c>
      <c r="L284" s="52" t="str">
        <f t="shared" si="20"/>
        <v/>
      </c>
      <c r="M284" s="47"/>
      <c r="N284" s="48" t="str">
        <f t="shared" si="21"/>
        <v/>
      </c>
      <c r="O284" s="48" t="str">
        <f>IF(B284="","",COUNTIF($B$7:B284,B284))</f>
        <v/>
      </c>
      <c r="P284" s="48" t="str">
        <f t="shared" si="22"/>
        <v/>
      </c>
      <c r="Q284" s="48" t="str">
        <f t="shared" si="23"/>
        <v/>
      </c>
      <c r="R284" s="48" t="str">
        <f t="shared" si="24"/>
        <v/>
      </c>
    </row>
    <row r="285" spans="1:18" ht="16" x14ac:dyDescent="0.2">
      <c r="A285" s="50"/>
      <c r="B285" s="47"/>
      <c r="C285" s="48" t="str">
        <f>IF(B285="","",IFERROR(INDEX(Tenants!$B$6:$B$35,MATCH(B285,Tenants!$A$6:$A$35,0)),"Unit not found"))</f>
        <v/>
      </c>
      <c r="D285" s="48" t="str">
        <f>IF(B285="","",IF(J285="Y","(vacant)",IFERROR(INDEX(Tenants!$C$6:$C$35,MATCH(B285,Tenants!$A$6:$A$35,0)),"")))</f>
        <v/>
      </c>
      <c r="E285" s="56"/>
      <c r="F285" s="56"/>
      <c r="G285" s="56"/>
      <c r="H285" s="50"/>
      <c r="I285" s="47"/>
      <c r="J285" s="47"/>
      <c r="K285" s="48" t="str">
        <f ca="1">IF(B285="","",IF(UPPER(J285)="Y","Vacant",IF(AND(G285&gt;0,G285&gt;=E285+F285),IF(AND(H285&lt;&gt;"",A285&lt;&gt;"",H285&gt;A285+Settings!$C$7),"Paid late","Paid"),IF(G285&gt;0,"Partial",IF(AND(A285&lt;&gt;"",TODAY()&gt;A285+Settings!$C$7),"Unpaid","Due")))))</f>
        <v/>
      </c>
      <c r="L285" s="52" t="str">
        <f t="shared" si="20"/>
        <v/>
      </c>
      <c r="M285" s="47"/>
      <c r="N285" s="48" t="str">
        <f t="shared" si="21"/>
        <v/>
      </c>
      <c r="O285" s="48" t="str">
        <f>IF(B285="","",COUNTIF($B$7:B285,B285))</f>
        <v/>
      </c>
      <c r="P285" s="48" t="str">
        <f t="shared" si="22"/>
        <v/>
      </c>
      <c r="Q285" s="48" t="str">
        <f t="shared" si="23"/>
        <v/>
      </c>
      <c r="R285" s="48" t="str">
        <f t="shared" si="24"/>
        <v/>
      </c>
    </row>
    <row r="286" spans="1:18" ht="16" x14ac:dyDescent="0.2">
      <c r="A286" s="50"/>
      <c r="B286" s="47"/>
      <c r="C286" s="48" t="str">
        <f>IF(B286="","",IFERROR(INDEX(Tenants!$B$6:$B$35,MATCH(B286,Tenants!$A$6:$A$35,0)),"Unit not found"))</f>
        <v/>
      </c>
      <c r="D286" s="48" t="str">
        <f>IF(B286="","",IF(J286="Y","(vacant)",IFERROR(INDEX(Tenants!$C$6:$C$35,MATCH(B286,Tenants!$A$6:$A$35,0)),"")))</f>
        <v/>
      </c>
      <c r="E286" s="56"/>
      <c r="F286" s="56"/>
      <c r="G286" s="56"/>
      <c r="H286" s="50"/>
      <c r="I286" s="47"/>
      <c r="J286" s="47"/>
      <c r="K286" s="48" t="str">
        <f ca="1">IF(B286="","",IF(UPPER(J286)="Y","Vacant",IF(AND(G286&gt;0,G286&gt;=E286+F286),IF(AND(H286&lt;&gt;"",A286&lt;&gt;"",H286&gt;A286+Settings!$C$7),"Paid late","Paid"),IF(G286&gt;0,"Partial",IF(AND(A286&lt;&gt;"",TODAY()&gt;A286+Settings!$C$7),"Unpaid","Due")))))</f>
        <v/>
      </c>
      <c r="L286" s="52" t="str">
        <f t="shared" si="20"/>
        <v/>
      </c>
      <c r="M286" s="47"/>
      <c r="N286" s="48" t="str">
        <f t="shared" si="21"/>
        <v/>
      </c>
      <c r="O286" s="48" t="str">
        <f>IF(B286="","",COUNTIF($B$7:B286,B286))</f>
        <v/>
      </c>
      <c r="P286" s="48" t="str">
        <f t="shared" si="22"/>
        <v/>
      </c>
      <c r="Q286" s="48" t="str">
        <f t="shared" si="23"/>
        <v/>
      </c>
      <c r="R286" s="48" t="str">
        <f t="shared" si="24"/>
        <v/>
      </c>
    </row>
    <row r="287" spans="1:18" ht="16" x14ac:dyDescent="0.2">
      <c r="A287" s="50"/>
      <c r="B287" s="47"/>
      <c r="C287" s="48" t="str">
        <f>IF(B287="","",IFERROR(INDEX(Tenants!$B$6:$B$35,MATCH(B287,Tenants!$A$6:$A$35,0)),"Unit not found"))</f>
        <v/>
      </c>
      <c r="D287" s="48" t="str">
        <f>IF(B287="","",IF(J287="Y","(vacant)",IFERROR(INDEX(Tenants!$C$6:$C$35,MATCH(B287,Tenants!$A$6:$A$35,0)),"")))</f>
        <v/>
      </c>
      <c r="E287" s="56"/>
      <c r="F287" s="56"/>
      <c r="G287" s="56"/>
      <c r="H287" s="50"/>
      <c r="I287" s="47"/>
      <c r="J287" s="47"/>
      <c r="K287" s="48" t="str">
        <f ca="1">IF(B287="","",IF(UPPER(J287)="Y","Vacant",IF(AND(G287&gt;0,G287&gt;=E287+F287),IF(AND(H287&lt;&gt;"",A287&lt;&gt;"",H287&gt;A287+Settings!$C$7),"Paid late","Paid"),IF(G287&gt;0,"Partial",IF(AND(A287&lt;&gt;"",TODAY()&gt;A287+Settings!$C$7),"Unpaid","Due")))))</f>
        <v/>
      </c>
      <c r="L287" s="52" t="str">
        <f t="shared" si="20"/>
        <v/>
      </c>
      <c r="M287" s="47"/>
      <c r="N287" s="48" t="str">
        <f t="shared" si="21"/>
        <v/>
      </c>
      <c r="O287" s="48" t="str">
        <f>IF(B287="","",COUNTIF($B$7:B287,B287))</f>
        <v/>
      </c>
      <c r="P287" s="48" t="str">
        <f t="shared" si="22"/>
        <v/>
      </c>
      <c r="Q287" s="48" t="str">
        <f t="shared" si="23"/>
        <v/>
      </c>
      <c r="R287" s="48" t="str">
        <f t="shared" si="24"/>
        <v/>
      </c>
    </row>
    <row r="288" spans="1:18" ht="16" x14ac:dyDescent="0.2">
      <c r="A288" s="50"/>
      <c r="B288" s="47"/>
      <c r="C288" s="48" t="str">
        <f>IF(B288="","",IFERROR(INDEX(Tenants!$B$6:$B$35,MATCH(B288,Tenants!$A$6:$A$35,0)),"Unit not found"))</f>
        <v/>
      </c>
      <c r="D288" s="48" t="str">
        <f>IF(B288="","",IF(J288="Y","(vacant)",IFERROR(INDEX(Tenants!$C$6:$C$35,MATCH(B288,Tenants!$A$6:$A$35,0)),"")))</f>
        <v/>
      </c>
      <c r="E288" s="56"/>
      <c r="F288" s="56"/>
      <c r="G288" s="56"/>
      <c r="H288" s="50"/>
      <c r="I288" s="47"/>
      <c r="J288" s="47"/>
      <c r="K288" s="48" t="str">
        <f ca="1">IF(B288="","",IF(UPPER(J288)="Y","Vacant",IF(AND(G288&gt;0,G288&gt;=E288+F288),IF(AND(H288&lt;&gt;"",A288&lt;&gt;"",H288&gt;A288+Settings!$C$7),"Paid late","Paid"),IF(G288&gt;0,"Partial",IF(AND(A288&lt;&gt;"",TODAY()&gt;A288+Settings!$C$7),"Unpaid","Due")))))</f>
        <v/>
      </c>
      <c r="L288" s="52" t="str">
        <f t="shared" si="20"/>
        <v/>
      </c>
      <c r="M288" s="47"/>
      <c r="N288" s="48" t="str">
        <f t="shared" si="21"/>
        <v/>
      </c>
      <c r="O288" s="48" t="str">
        <f>IF(B288="","",COUNTIF($B$7:B288,B288))</f>
        <v/>
      </c>
      <c r="P288" s="48" t="str">
        <f t="shared" si="22"/>
        <v/>
      </c>
      <c r="Q288" s="48" t="str">
        <f t="shared" si="23"/>
        <v/>
      </c>
      <c r="R288" s="48" t="str">
        <f t="shared" si="24"/>
        <v/>
      </c>
    </row>
    <row r="289" spans="1:18" ht="16" x14ac:dyDescent="0.2">
      <c r="A289" s="50"/>
      <c r="B289" s="47"/>
      <c r="C289" s="48" t="str">
        <f>IF(B289="","",IFERROR(INDEX(Tenants!$B$6:$B$35,MATCH(B289,Tenants!$A$6:$A$35,0)),"Unit not found"))</f>
        <v/>
      </c>
      <c r="D289" s="48" t="str">
        <f>IF(B289="","",IF(J289="Y","(vacant)",IFERROR(INDEX(Tenants!$C$6:$C$35,MATCH(B289,Tenants!$A$6:$A$35,0)),"")))</f>
        <v/>
      </c>
      <c r="E289" s="56"/>
      <c r="F289" s="56"/>
      <c r="G289" s="56"/>
      <c r="H289" s="50"/>
      <c r="I289" s="47"/>
      <c r="J289" s="47"/>
      <c r="K289" s="48" t="str">
        <f ca="1">IF(B289="","",IF(UPPER(J289)="Y","Vacant",IF(AND(G289&gt;0,G289&gt;=E289+F289),IF(AND(H289&lt;&gt;"",A289&lt;&gt;"",H289&gt;A289+Settings!$C$7),"Paid late","Paid"),IF(G289&gt;0,"Partial",IF(AND(A289&lt;&gt;"",TODAY()&gt;A289+Settings!$C$7),"Unpaid","Due")))))</f>
        <v/>
      </c>
      <c r="L289" s="52" t="str">
        <f t="shared" si="20"/>
        <v/>
      </c>
      <c r="M289" s="47"/>
      <c r="N289" s="48" t="str">
        <f t="shared" si="21"/>
        <v/>
      </c>
      <c r="O289" s="48" t="str">
        <f>IF(B289="","",COUNTIF($B$7:B289,B289))</f>
        <v/>
      </c>
      <c r="P289" s="48" t="str">
        <f t="shared" si="22"/>
        <v/>
      </c>
      <c r="Q289" s="48" t="str">
        <f t="shared" si="23"/>
        <v/>
      </c>
      <c r="R289" s="48" t="str">
        <f t="shared" si="24"/>
        <v/>
      </c>
    </row>
    <row r="290" spans="1:18" ht="16" x14ac:dyDescent="0.2">
      <c r="A290" s="50"/>
      <c r="B290" s="47"/>
      <c r="C290" s="48" t="str">
        <f>IF(B290="","",IFERROR(INDEX(Tenants!$B$6:$B$35,MATCH(B290,Tenants!$A$6:$A$35,0)),"Unit not found"))</f>
        <v/>
      </c>
      <c r="D290" s="48" t="str">
        <f>IF(B290="","",IF(J290="Y","(vacant)",IFERROR(INDEX(Tenants!$C$6:$C$35,MATCH(B290,Tenants!$A$6:$A$35,0)),"")))</f>
        <v/>
      </c>
      <c r="E290" s="56"/>
      <c r="F290" s="56"/>
      <c r="G290" s="56"/>
      <c r="H290" s="50"/>
      <c r="I290" s="47"/>
      <c r="J290" s="47"/>
      <c r="K290" s="48" t="str">
        <f ca="1">IF(B290="","",IF(UPPER(J290)="Y","Vacant",IF(AND(G290&gt;0,G290&gt;=E290+F290),IF(AND(H290&lt;&gt;"",A290&lt;&gt;"",H290&gt;A290+Settings!$C$7),"Paid late","Paid"),IF(G290&gt;0,"Partial",IF(AND(A290&lt;&gt;"",TODAY()&gt;A290+Settings!$C$7),"Unpaid","Due")))))</f>
        <v/>
      </c>
      <c r="L290" s="52" t="str">
        <f t="shared" si="20"/>
        <v/>
      </c>
      <c r="M290" s="47"/>
      <c r="N290" s="48" t="str">
        <f t="shared" si="21"/>
        <v/>
      </c>
      <c r="O290" s="48" t="str">
        <f>IF(B290="","",COUNTIF($B$7:B290,B290))</f>
        <v/>
      </c>
      <c r="P290" s="48" t="str">
        <f t="shared" si="22"/>
        <v/>
      </c>
      <c r="Q290" s="48" t="str">
        <f t="shared" si="23"/>
        <v/>
      </c>
      <c r="R290" s="48" t="str">
        <f t="shared" si="24"/>
        <v/>
      </c>
    </row>
    <row r="291" spans="1:18" ht="16" x14ac:dyDescent="0.2">
      <c r="A291" s="50"/>
      <c r="B291" s="47"/>
      <c r="C291" s="48" t="str">
        <f>IF(B291="","",IFERROR(INDEX(Tenants!$B$6:$B$35,MATCH(B291,Tenants!$A$6:$A$35,0)),"Unit not found"))</f>
        <v/>
      </c>
      <c r="D291" s="48" t="str">
        <f>IF(B291="","",IF(J291="Y","(vacant)",IFERROR(INDEX(Tenants!$C$6:$C$35,MATCH(B291,Tenants!$A$6:$A$35,0)),"")))</f>
        <v/>
      </c>
      <c r="E291" s="56"/>
      <c r="F291" s="56"/>
      <c r="G291" s="56"/>
      <c r="H291" s="50"/>
      <c r="I291" s="47"/>
      <c r="J291" s="47"/>
      <c r="K291" s="48" t="str">
        <f ca="1">IF(B291="","",IF(UPPER(J291)="Y","Vacant",IF(AND(G291&gt;0,G291&gt;=E291+F291),IF(AND(H291&lt;&gt;"",A291&lt;&gt;"",H291&gt;A291+Settings!$C$7),"Paid late","Paid"),IF(G291&gt;0,"Partial",IF(AND(A291&lt;&gt;"",TODAY()&gt;A291+Settings!$C$7),"Unpaid","Due")))))</f>
        <v/>
      </c>
      <c r="L291" s="52" t="str">
        <f t="shared" si="20"/>
        <v/>
      </c>
      <c r="M291" s="47"/>
      <c r="N291" s="48" t="str">
        <f t="shared" si="21"/>
        <v/>
      </c>
      <c r="O291" s="48" t="str">
        <f>IF(B291="","",COUNTIF($B$7:B291,B291))</f>
        <v/>
      </c>
      <c r="P291" s="48" t="str">
        <f t="shared" si="22"/>
        <v/>
      </c>
      <c r="Q291" s="48" t="str">
        <f t="shared" si="23"/>
        <v/>
      </c>
      <c r="R291" s="48" t="str">
        <f t="shared" si="24"/>
        <v/>
      </c>
    </row>
    <row r="292" spans="1:18" ht="16" x14ac:dyDescent="0.2">
      <c r="A292" s="50"/>
      <c r="B292" s="47"/>
      <c r="C292" s="48" t="str">
        <f>IF(B292="","",IFERROR(INDEX(Tenants!$B$6:$B$35,MATCH(B292,Tenants!$A$6:$A$35,0)),"Unit not found"))</f>
        <v/>
      </c>
      <c r="D292" s="48" t="str">
        <f>IF(B292="","",IF(J292="Y","(vacant)",IFERROR(INDEX(Tenants!$C$6:$C$35,MATCH(B292,Tenants!$A$6:$A$35,0)),"")))</f>
        <v/>
      </c>
      <c r="E292" s="56"/>
      <c r="F292" s="56"/>
      <c r="G292" s="56"/>
      <c r="H292" s="50"/>
      <c r="I292" s="47"/>
      <c r="J292" s="47"/>
      <c r="K292" s="48" t="str">
        <f ca="1">IF(B292="","",IF(UPPER(J292)="Y","Vacant",IF(AND(G292&gt;0,G292&gt;=E292+F292),IF(AND(H292&lt;&gt;"",A292&lt;&gt;"",H292&gt;A292+Settings!$C$7),"Paid late","Paid"),IF(G292&gt;0,"Partial",IF(AND(A292&lt;&gt;"",TODAY()&gt;A292+Settings!$C$7),"Unpaid","Due")))))</f>
        <v/>
      </c>
      <c r="L292" s="52" t="str">
        <f t="shared" si="20"/>
        <v/>
      </c>
      <c r="M292" s="47"/>
      <c r="N292" s="48" t="str">
        <f t="shared" si="21"/>
        <v/>
      </c>
      <c r="O292" s="48" t="str">
        <f>IF(B292="","",COUNTIF($B$7:B292,B292))</f>
        <v/>
      </c>
      <c r="P292" s="48" t="str">
        <f t="shared" si="22"/>
        <v/>
      </c>
      <c r="Q292" s="48" t="str">
        <f t="shared" si="23"/>
        <v/>
      </c>
      <c r="R292" s="48" t="str">
        <f t="shared" si="24"/>
        <v/>
      </c>
    </row>
    <row r="293" spans="1:18" ht="16" x14ac:dyDescent="0.2">
      <c r="A293" s="50"/>
      <c r="B293" s="47"/>
      <c r="C293" s="48" t="str">
        <f>IF(B293="","",IFERROR(INDEX(Tenants!$B$6:$B$35,MATCH(B293,Tenants!$A$6:$A$35,0)),"Unit not found"))</f>
        <v/>
      </c>
      <c r="D293" s="48" t="str">
        <f>IF(B293="","",IF(J293="Y","(vacant)",IFERROR(INDEX(Tenants!$C$6:$C$35,MATCH(B293,Tenants!$A$6:$A$35,0)),"")))</f>
        <v/>
      </c>
      <c r="E293" s="56"/>
      <c r="F293" s="56"/>
      <c r="G293" s="56"/>
      <c r="H293" s="50"/>
      <c r="I293" s="47"/>
      <c r="J293" s="47"/>
      <c r="K293" s="48" t="str">
        <f ca="1">IF(B293="","",IF(UPPER(J293)="Y","Vacant",IF(AND(G293&gt;0,G293&gt;=E293+F293),IF(AND(H293&lt;&gt;"",A293&lt;&gt;"",H293&gt;A293+Settings!$C$7),"Paid late","Paid"),IF(G293&gt;0,"Partial",IF(AND(A293&lt;&gt;"",TODAY()&gt;A293+Settings!$C$7),"Unpaid","Due")))))</f>
        <v/>
      </c>
      <c r="L293" s="52" t="str">
        <f t="shared" si="20"/>
        <v/>
      </c>
      <c r="M293" s="47"/>
      <c r="N293" s="48" t="str">
        <f t="shared" si="21"/>
        <v/>
      </c>
      <c r="O293" s="48" t="str">
        <f>IF(B293="","",COUNTIF($B$7:B293,B293))</f>
        <v/>
      </c>
      <c r="P293" s="48" t="str">
        <f t="shared" si="22"/>
        <v/>
      </c>
      <c r="Q293" s="48" t="str">
        <f t="shared" si="23"/>
        <v/>
      </c>
      <c r="R293" s="48" t="str">
        <f t="shared" si="24"/>
        <v/>
      </c>
    </row>
    <row r="294" spans="1:18" ht="16" x14ac:dyDescent="0.2">
      <c r="A294" s="50"/>
      <c r="B294" s="47"/>
      <c r="C294" s="48" t="str">
        <f>IF(B294="","",IFERROR(INDEX(Tenants!$B$6:$B$35,MATCH(B294,Tenants!$A$6:$A$35,0)),"Unit not found"))</f>
        <v/>
      </c>
      <c r="D294" s="48" t="str">
        <f>IF(B294="","",IF(J294="Y","(vacant)",IFERROR(INDEX(Tenants!$C$6:$C$35,MATCH(B294,Tenants!$A$6:$A$35,0)),"")))</f>
        <v/>
      </c>
      <c r="E294" s="56"/>
      <c r="F294" s="56"/>
      <c r="G294" s="56"/>
      <c r="H294" s="50"/>
      <c r="I294" s="47"/>
      <c r="J294" s="47"/>
      <c r="K294" s="48" t="str">
        <f ca="1">IF(B294="","",IF(UPPER(J294)="Y","Vacant",IF(AND(G294&gt;0,G294&gt;=E294+F294),IF(AND(H294&lt;&gt;"",A294&lt;&gt;"",H294&gt;A294+Settings!$C$7),"Paid late","Paid"),IF(G294&gt;0,"Partial",IF(AND(A294&lt;&gt;"",TODAY()&gt;A294+Settings!$C$7),"Unpaid","Due")))))</f>
        <v/>
      </c>
      <c r="L294" s="52" t="str">
        <f t="shared" si="20"/>
        <v/>
      </c>
      <c r="M294" s="47"/>
      <c r="N294" s="48" t="str">
        <f t="shared" si="21"/>
        <v/>
      </c>
      <c r="O294" s="48" t="str">
        <f>IF(B294="","",COUNTIF($B$7:B294,B294))</f>
        <v/>
      </c>
      <c r="P294" s="48" t="str">
        <f t="shared" si="22"/>
        <v/>
      </c>
      <c r="Q294" s="48" t="str">
        <f t="shared" si="23"/>
        <v/>
      </c>
      <c r="R294" s="48" t="str">
        <f t="shared" si="24"/>
        <v/>
      </c>
    </row>
    <row r="295" spans="1:18" ht="16" x14ac:dyDescent="0.2">
      <c r="A295" s="50"/>
      <c r="B295" s="47"/>
      <c r="C295" s="48" t="str">
        <f>IF(B295="","",IFERROR(INDEX(Tenants!$B$6:$B$35,MATCH(B295,Tenants!$A$6:$A$35,0)),"Unit not found"))</f>
        <v/>
      </c>
      <c r="D295" s="48" t="str">
        <f>IF(B295="","",IF(J295="Y","(vacant)",IFERROR(INDEX(Tenants!$C$6:$C$35,MATCH(B295,Tenants!$A$6:$A$35,0)),"")))</f>
        <v/>
      </c>
      <c r="E295" s="56"/>
      <c r="F295" s="56"/>
      <c r="G295" s="56"/>
      <c r="H295" s="50"/>
      <c r="I295" s="47"/>
      <c r="J295" s="47"/>
      <c r="K295" s="48" t="str">
        <f ca="1">IF(B295="","",IF(UPPER(J295)="Y","Vacant",IF(AND(G295&gt;0,G295&gt;=E295+F295),IF(AND(H295&lt;&gt;"",A295&lt;&gt;"",H295&gt;A295+Settings!$C$7),"Paid late","Paid"),IF(G295&gt;0,"Partial",IF(AND(A295&lt;&gt;"",TODAY()&gt;A295+Settings!$C$7),"Unpaid","Due")))))</f>
        <v/>
      </c>
      <c r="L295" s="52" t="str">
        <f t="shared" si="20"/>
        <v/>
      </c>
      <c r="M295" s="47"/>
      <c r="N295" s="48" t="str">
        <f t="shared" si="21"/>
        <v/>
      </c>
      <c r="O295" s="48" t="str">
        <f>IF(B295="","",COUNTIF($B$7:B295,B295))</f>
        <v/>
      </c>
      <c r="P295" s="48" t="str">
        <f t="shared" si="22"/>
        <v/>
      </c>
      <c r="Q295" s="48" t="str">
        <f t="shared" si="23"/>
        <v/>
      </c>
      <c r="R295" s="48" t="str">
        <f t="shared" si="24"/>
        <v/>
      </c>
    </row>
    <row r="296" spans="1:18" ht="16" x14ac:dyDescent="0.2">
      <c r="A296" s="50"/>
      <c r="B296" s="47"/>
      <c r="C296" s="48" t="str">
        <f>IF(B296="","",IFERROR(INDEX(Tenants!$B$6:$B$35,MATCH(B296,Tenants!$A$6:$A$35,0)),"Unit not found"))</f>
        <v/>
      </c>
      <c r="D296" s="48" t="str">
        <f>IF(B296="","",IF(J296="Y","(vacant)",IFERROR(INDEX(Tenants!$C$6:$C$35,MATCH(B296,Tenants!$A$6:$A$35,0)),"")))</f>
        <v/>
      </c>
      <c r="E296" s="56"/>
      <c r="F296" s="56"/>
      <c r="G296" s="56"/>
      <c r="H296" s="50"/>
      <c r="I296" s="47"/>
      <c r="J296" s="47"/>
      <c r="K296" s="48" t="str">
        <f ca="1">IF(B296="","",IF(UPPER(J296)="Y","Vacant",IF(AND(G296&gt;0,G296&gt;=E296+F296),IF(AND(H296&lt;&gt;"",A296&lt;&gt;"",H296&gt;A296+Settings!$C$7),"Paid late","Paid"),IF(G296&gt;0,"Partial",IF(AND(A296&lt;&gt;"",TODAY()&gt;A296+Settings!$C$7),"Unpaid","Due")))))</f>
        <v/>
      </c>
      <c r="L296" s="52" t="str">
        <f t="shared" si="20"/>
        <v/>
      </c>
      <c r="M296" s="47"/>
      <c r="N296" s="48" t="str">
        <f t="shared" si="21"/>
        <v/>
      </c>
      <c r="O296" s="48" t="str">
        <f>IF(B296="","",COUNTIF($B$7:B296,B296))</f>
        <v/>
      </c>
      <c r="P296" s="48" t="str">
        <f t="shared" si="22"/>
        <v/>
      </c>
      <c r="Q296" s="48" t="str">
        <f t="shared" si="23"/>
        <v/>
      </c>
      <c r="R296" s="48" t="str">
        <f t="shared" si="24"/>
        <v/>
      </c>
    </row>
    <row r="297" spans="1:18" ht="16" x14ac:dyDescent="0.2">
      <c r="A297" s="50"/>
      <c r="B297" s="47"/>
      <c r="C297" s="48" t="str">
        <f>IF(B297="","",IFERROR(INDEX(Tenants!$B$6:$B$35,MATCH(B297,Tenants!$A$6:$A$35,0)),"Unit not found"))</f>
        <v/>
      </c>
      <c r="D297" s="48" t="str">
        <f>IF(B297="","",IF(J297="Y","(vacant)",IFERROR(INDEX(Tenants!$C$6:$C$35,MATCH(B297,Tenants!$A$6:$A$35,0)),"")))</f>
        <v/>
      </c>
      <c r="E297" s="56"/>
      <c r="F297" s="56"/>
      <c r="G297" s="56"/>
      <c r="H297" s="50"/>
      <c r="I297" s="47"/>
      <c r="J297" s="47"/>
      <c r="K297" s="48" t="str">
        <f ca="1">IF(B297="","",IF(UPPER(J297)="Y","Vacant",IF(AND(G297&gt;0,G297&gt;=E297+F297),IF(AND(H297&lt;&gt;"",A297&lt;&gt;"",H297&gt;A297+Settings!$C$7),"Paid late","Paid"),IF(G297&gt;0,"Partial",IF(AND(A297&lt;&gt;"",TODAY()&gt;A297+Settings!$C$7),"Unpaid","Due")))))</f>
        <v/>
      </c>
      <c r="L297" s="52" t="str">
        <f t="shared" si="20"/>
        <v/>
      </c>
      <c r="M297" s="47"/>
      <c r="N297" s="48" t="str">
        <f t="shared" si="21"/>
        <v/>
      </c>
      <c r="O297" s="48" t="str">
        <f>IF(B297="","",COUNTIF($B$7:B297,B297))</f>
        <v/>
      </c>
      <c r="P297" s="48" t="str">
        <f t="shared" si="22"/>
        <v/>
      </c>
      <c r="Q297" s="48" t="str">
        <f t="shared" si="23"/>
        <v/>
      </c>
      <c r="R297" s="48" t="str">
        <f t="shared" si="24"/>
        <v/>
      </c>
    </row>
    <row r="298" spans="1:18" ht="16" x14ac:dyDescent="0.2">
      <c r="A298" s="50"/>
      <c r="B298" s="47"/>
      <c r="C298" s="48" t="str">
        <f>IF(B298="","",IFERROR(INDEX(Tenants!$B$6:$B$35,MATCH(B298,Tenants!$A$6:$A$35,0)),"Unit not found"))</f>
        <v/>
      </c>
      <c r="D298" s="48" t="str">
        <f>IF(B298="","",IF(J298="Y","(vacant)",IFERROR(INDEX(Tenants!$C$6:$C$35,MATCH(B298,Tenants!$A$6:$A$35,0)),"")))</f>
        <v/>
      </c>
      <c r="E298" s="56"/>
      <c r="F298" s="56"/>
      <c r="G298" s="56"/>
      <c r="H298" s="50"/>
      <c r="I298" s="47"/>
      <c r="J298" s="47"/>
      <c r="K298" s="48" t="str">
        <f ca="1">IF(B298="","",IF(UPPER(J298)="Y","Vacant",IF(AND(G298&gt;0,G298&gt;=E298+F298),IF(AND(H298&lt;&gt;"",A298&lt;&gt;"",H298&gt;A298+Settings!$C$7),"Paid late","Paid"),IF(G298&gt;0,"Partial",IF(AND(A298&lt;&gt;"",TODAY()&gt;A298+Settings!$C$7),"Unpaid","Due")))))</f>
        <v/>
      </c>
      <c r="L298" s="52" t="str">
        <f t="shared" si="20"/>
        <v/>
      </c>
      <c r="M298" s="47"/>
      <c r="N298" s="48" t="str">
        <f t="shared" si="21"/>
        <v/>
      </c>
      <c r="O298" s="48" t="str">
        <f>IF(B298="","",COUNTIF($B$7:B298,B298))</f>
        <v/>
      </c>
      <c r="P298" s="48" t="str">
        <f t="shared" si="22"/>
        <v/>
      </c>
      <c r="Q298" s="48" t="str">
        <f t="shared" si="23"/>
        <v/>
      </c>
      <c r="R298" s="48" t="str">
        <f t="shared" si="24"/>
        <v/>
      </c>
    </row>
    <row r="299" spans="1:18" ht="16" x14ac:dyDescent="0.2">
      <c r="A299" s="50"/>
      <c r="B299" s="47"/>
      <c r="C299" s="48" t="str">
        <f>IF(B299="","",IFERROR(INDEX(Tenants!$B$6:$B$35,MATCH(B299,Tenants!$A$6:$A$35,0)),"Unit not found"))</f>
        <v/>
      </c>
      <c r="D299" s="48" t="str">
        <f>IF(B299="","",IF(J299="Y","(vacant)",IFERROR(INDEX(Tenants!$C$6:$C$35,MATCH(B299,Tenants!$A$6:$A$35,0)),"")))</f>
        <v/>
      </c>
      <c r="E299" s="56"/>
      <c r="F299" s="56"/>
      <c r="G299" s="56"/>
      <c r="H299" s="50"/>
      <c r="I299" s="47"/>
      <c r="J299" s="47"/>
      <c r="K299" s="48" t="str">
        <f ca="1">IF(B299="","",IF(UPPER(J299)="Y","Vacant",IF(AND(G299&gt;0,G299&gt;=E299+F299),IF(AND(H299&lt;&gt;"",A299&lt;&gt;"",H299&gt;A299+Settings!$C$7),"Paid late","Paid"),IF(G299&gt;0,"Partial",IF(AND(A299&lt;&gt;"",TODAY()&gt;A299+Settings!$C$7),"Unpaid","Due")))))</f>
        <v/>
      </c>
      <c r="L299" s="52" t="str">
        <f t="shared" si="20"/>
        <v/>
      </c>
      <c r="M299" s="47"/>
      <c r="N299" s="48" t="str">
        <f t="shared" si="21"/>
        <v/>
      </c>
      <c r="O299" s="48" t="str">
        <f>IF(B299="","",COUNTIF($B$7:B299,B299))</f>
        <v/>
      </c>
      <c r="P299" s="48" t="str">
        <f t="shared" si="22"/>
        <v/>
      </c>
      <c r="Q299" s="48" t="str">
        <f t="shared" si="23"/>
        <v/>
      </c>
      <c r="R299" s="48" t="str">
        <f t="shared" si="24"/>
        <v/>
      </c>
    </row>
    <row r="300" spans="1:18" ht="16" x14ac:dyDescent="0.2">
      <c r="A300" s="50"/>
      <c r="B300" s="47"/>
      <c r="C300" s="48" t="str">
        <f>IF(B300="","",IFERROR(INDEX(Tenants!$B$6:$B$35,MATCH(B300,Tenants!$A$6:$A$35,0)),"Unit not found"))</f>
        <v/>
      </c>
      <c r="D300" s="48" t="str">
        <f>IF(B300="","",IF(J300="Y","(vacant)",IFERROR(INDEX(Tenants!$C$6:$C$35,MATCH(B300,Tenants!$A$6:$A$35,0)),"")))</f>
        <v/>
      </c>
      <c r="E300" s="56"/>
      <c r="F300" s="56"/>
      <c r="G300" s="56"/>
      <c r="H300" s="50"/>
      <c r="I300" s="47"/>
      <c r="J300" s="47"/>
      <c r="K300" s="48" t="str">
        <f ca="1">IF(B300="","",IF(UPPER(J300)="Y","Vacant",IF(AND(G300&gt;0,G300&gt;=E300+F300),IF(AND(H300&lt;&gt;"",A300&lt;&gt;"",H300&gt;A300+Settings!$C$7),"Paid late","Paid"),IF(G300&gt;0,"Partial",IF(AND(A300&lt;&gt;"",TODAY()&gt;A300+Settings!$C$7),"Unpaid","Due")))))</f>
        <v/>
      </c>
      <c r="L300" s="52" t="str">
        <f t="shared" si="20"/>
        <v/>
      </c>
      <c r="M300" s="47"/>
      <c r="N300" s="48" t="str">
        <f t="shared" si="21"/>
        <v/>
      </c>
      <c r="O300" s="48" t="str">
        <f>IF(B300="","",COUNTIF($B$7:B300,B300))</f>
        <v/>
      </c>
      <c r="P300" s="48" t="str">
        <f t="shared" si="22"/>
        <v/>
      </c>
      <c r="Q300" s="48" t="str">
        <f t="shared" si="23"/>
        <v/>
      </c>
      <c r="R300" s="48" t="str">
        <f t="shared" si="24"/>
        <v/>
      </c>
    </row>
    <row r="301" spans="1:18" ht="16" x14ac:dyDescent="0.2">
      <c r="A301" s="50"/>
      <c r="B301" s="47"/>
      <c r="C301" s="48" t="str">
        <f>IF(B301="","",IFERROR(INDEX(Tenants!$B$6:$B$35,MATCH(B301,Tenants!$A$6:$A$35,0)),"Unit not found"))</f>
        <v/>
      </c>
      <c r="D301" s="48" t="str">
        <f>IF(B301="","",IF(J301="Y","(vacant)",IFERROR(INDEX(Tenants!$C$6:$C$35,MATCH(B301,Tenants!$A$6:$A$35,0)),"")))</f>
        <v/>
      </c>
      <c r="E301" s="56"/>
      <c r="F301" s="56"/>
      <c r="G301" s="56"/>
      <c r="H301" s="50"/>
      <c r="I301" s="47"/>
      <c r="J301" s="47"/>
      <c r="K301" s="48" t="str">
        <f ca="1">IF(B301="","",IF(UPPER(J301)="Y","Vacant",IF(AND(G301&gt;0,G301&gt;=E301+F301),IF(AND(H301&lt;&gt;"",A301&lt;&gt;"",H301&gt;A301+Settings!$C$7),"Paid late","Paid"),IF(G301&gt;0,"Partial",IF(AND(A301&lt;&gt;"",TODAY()&gt;A301+Settings!$C$7),"Unpaid","Due")))))</f>
        <v/>
      </c>
      <c r="L301" s="52" t="str">
        <f t="shared" si="20"/>
        <v/>
      </c>
      <c r="M301" s="47"/>
      <c r="N301" s="48" t="str">
        <f t="shared" si="21"/>
        <v/>
      </c>
      <c r="O301" s="48" t="str">
        <f>IF(B301="","",COUNTIF($B$7:B301,B301))</f>
        <v/>
      </c>
      <c r="P301" s="48" t="str">
        <f t="shared" si="22"/>
        <v/>
      </c>
      <c r="Q301" s="48" t="str">
        <f t="shared" si="23"/>
        <v/>
      </c>
      <c r="R301" s="48" t="str">
        <f t="shared" si="24"/>
        <v/>
      </c>
    </row>
    <row r="302" spans="1:18" ht="16" x14ac:dyDescent="0.2">
      <c r="A302" s="50"/>
      <c r="B302" s="47"/>
      <c r="C302" s="48" t="str">
        <f>IF(B302="","",IFERROR(INDEX(Tenants!$B$6:$B$35,MATCH(B302,Tenants!$A$6:$A$35,0)),"Unit not found"))</f>
        <v/>
      </c>
      <c r="D302" s="48" t="str">
        <f>IF(B302="","",IF(J302="Y","(vacant)",IFERROR(INDEX(Tenants!$C$6:$C$35,MATCH(B302,Tenants!$A$6:$A$35,0)),"")))</f>
        <v/>
      </c>
      <c r="E302" s="56"/>
      <c r="F302" s="56"/>
      <c r="G302" s="56"/>
      <c r="H302" s="50"/>
      <c r="I302" s="47"/>
      <c r="J302" s="47"/>
      <c r="K302" s="48" t="str">
        <f ca="1">IF(B302="","",IF(UPPER(J302)="Y","Vacant",IF(AND(G302&gt;0,G302&gt;=E302+F302),IF(AND(H302&lt;&gt;"",A302&lt;&gt;"",H302&gt;A302+Settings!$C$7),"Paid late","Paid"),IF(G302&gt;0,"Partial",IF(AND(A302&lt;&gt;"",TODAY()&gt;A302+Settings!$C$7),"Unpaid","Due")))))</f>
        <v/>
      </c>
      <c r="L302" s="52" t="str">
        <f t="shared" si="20"/>
        <v/>
      </c>
      <c r="M302" s="47"/>
      <c r="N302" s="48" t="str">
        <f t="shared" si="21"/>
        <v/>
      </c>
      <c r="O302" s="48" t="str">
        <f>IF(B302="","",COUNTIF($B$7:B302,B302))</f>
        <v/>
      </c>
      <c r="P302" s="48" t="str">
        <f t="shared" si="22"/>
        <v/>
      </c>
      <c r="Q302" s="48" t="str">
        <f t="shared" si="23"/>
        <v/>
      </c>
      <c r="R302" s="48" t="str">
        <f t="shared" si="24"/>
        <v/>
      </c>
    </row>
    <row r="303" spans="1:18" ht="16" x14ac:dyDescent="0.2">
      <c r="A303" s="50"/>
      <c r="B303" s="47"/>
      <c r="C303" s="48" t="str">
        <f>IF(B303="","",IFERROR(INDEX(Tenants!$B$6:$B$35,MATCH(B303,Tenants!$A$6:$A$35,0)),"Unit not found"))</f>
        <v/>
      </c>
      <c r="D303" s="48" t="str">
        <f>IF(B303="","",IF(J303="Y","(vacant)",IFERROR(INDEX(Tenants!$C$6:$C$35,MATCH(B303,Tenants!$A$6:$A$35,0)),"")))</f>
        <v/>
      </c>
      <c r="E303" s="56"/>
      <c r="F303" s="56"/>
      <c r="G303" s="56"/>
      <c r="H303" s="50"/>
      <c r="I303" s="47"/>
      <c r="J303" s="47"/>
      <c r="K303" s="48" t="str">
        <f ca="1">IF(B303="","",IF(UPPER(J303)="Y","Vacant",IF(AND(G303&gt;0,G303&gt;=E303+F303),IF(AND(H303&lt;&gt;"",A303&lt;&gt;"",H303&gt;A303+Settings!$C$7),"Paid late","Paid"),IF(G303&gt;0,"Partial",IF(AND(A303&lt;&gt;"",TODAY()&gt;A303+Settings!$C$7),"Unpaid","Due")))))</f>
        <v/>
      </c>
      <c r="L303" s="52" t="str">
        <f t="shared" si="20"/>
        <v/>
      </c>
      <c r="M303" s="47"/>
      <c r="N303" s="48" t="str">
        <f t="shared" si="21"/>
        <v/>
      </c>
      <c r="O303" s="48" t="str">
        <f>IF(B303="","",COUNTIF($B$7:B303,B303))</f>
        <v/>
      </c>
      <c r="P303" s="48" t="str">
        <f t="shared" si="22"/>
        <v/>
      </c>
      <c r="Q303" s="48" t="str">
        <f t="shared" si="23"/>
        <v/>
      </c>
      <c r="R303" s="48" t="str">
        <f t="shared" si="24"/>
        <v/>
      </c>
    </row>
    <row r="304" spans="1:18" ht="16" x14ac:dyDescent="0.2">
      <c r="A304" s="50"/>
      <c r="B304" s="47"/>
      <c r="C304" s="48" t="str">
        <f>IF(B304="","",IFERROR(INDEX(Tenants!$B$6:$B$35,MATCH(B304,Tenants!$A$6:$A$35,0)),"Unit not found"))</f>
        <v/>
      </c>
      <c r="D304" s="48" t="str">
        <f>IF(B304="","",IF(J304="Y","(vacant)",IFERROR(INDEX(Tenants!$C$6:$C$35,MATCH(B304,Tenants!$A$6:$A$35,0)),"")))</f>
        <v/>
      </c>
      <c r="E304" s="56"/>
      <c r="F304" s="56"/>
      <c r="G304" s="56"/>
      <c r="H304" s="50"/>
      <c r="I304" s="47"/>
      <c r="J304" s="47"/>
      <c r="K304" s="48" t="str">
        <f ca="1">IF(B304="","",IF(UPPER(J304)="Y","Vacant",IF(AND(G304&gt;0,G304&gt;=E304+F304),IF(AND(H304&lt;&gt;"",A304&lt;&gt;"",H304&gt;A304+Settings!$C$7),"Paid late","Paid"),IF(G304&gt;0,"Partial",IF(AND(A304&lt;&gt;"",TODAY()&gt;A304+Settings!$C$7),"Unpaid","Due")))))</f>
        <v/>
      </c>
      <c r="L304" s="52" t="str">
        <f t="shared" si="20"/>
        <v/>
      </c>
      <c r="M304" s="47"/>
      <c r="N304" s="48" t="str">
        <f t="shared" si="21"/>
        <v/>
      </c>
      <c r="O304" s="48" t="str">
        <f>IF(B304="","",COUNTIF($B$7:B304,B304))</f>
        <v/>
      </c>
      <c r="P304" s="48" t="str">
        <f t="shared" si="22"/>
        <v/>
      </c>
      <c r="Q304" s="48" t="str">
        <f t="shared" si="23"/>
        <v/>
      </c>
      <c r="R304" s="48" t="str">
        <f t="shared" si="24"/>
        <v/>
      </c>
    </row>
    <row r="305" spans="1:18" ht="16" x14ac:dyDescent="0.2">
      <c r="A305" s="50"/>
      <c r="B305" s="47"/>
      <c r="C305" s="48" t="str">
        <f>IF(B305="","",IFERROR(INDEX(Tenants!$B$6:$B$35,MATCH(B305,Tenants!$A$6:$A$35,0)),"Unit not found"))</f>
        <v/>
      </c>
      <c r="D305" s="48" t="str">
        <f>IF(B305="","",IF(J305="Y","(vacant)",IFERROR(INDEX(Tenants!$C$6:$C$35,MATCH(B305,Tenants!$A$6:$A$35,0)),"")))</f>
        <v/>
      </c>
      <c r="E305" s="56"/>
      <c r="F305" s="56"/>
      <c r="G305" s="56"/>
      <c r="H305" s="50"/>
      <c r="I305" s="47"/>
      <c r="J305" s="47"/>
      <c r="K305" s="48" t="str">
        <f ca="1">IF(B305="","",IF(UPPER(J305)="Y","Vacant",IF(AND(G305&gt;0,G305&gt;=E305+F305),IF(AND(H305&lt;&gt;"",A305&lt;&gt;"",H305&gt;A305+Settings!$C$7),"Paid late","Paid"),IF(G305&gt;0,"Partial",IF(AND(A305&lt;&gt;"",TODAY()&gt;A305+Settings!$C$7),"Unpaid","Due")))))</f>
        <v/>
      </c>
      <c r="L305" s="52" t="str">
        <f t="shared" si="20"/>
        <v/>
      </c>
      <c r="M305" s="47"/>
      <c r="N305" s="48" t="str">
        <f t="shared" si="21"/>
        <v/>
      </c>
      <c r="O305" s="48" t="str">
        <f>IF(B305="","",COUNTIF($B$7:B305,B305))</f>
        <v/>
      </c>
      <c r="P305" s="48" t="str">
        <f t="shared" si="22"/>
        <v/>
      </c>
      <c r="Q305" s="48" t="str">
        <f t="shared" si="23"/>
        <v/>
      </c>
      <c r="R305" s="48" t="str">
        <f t="shared" si="24"/>
        <v/>
      </c>
    </row>
    <row r="306" spans="1:18" ht="16" x14ac:dyDescent="0.2">
      <c r="A306" s="50"/>
      <c r="B306" s="47"/>
      <c r="C306" s="48" t="str">
        <f>IF(B306="","",IFERROR(INDEX(Tenants!$B$6:$B$35,MATCH(B306,Tenants!$A$6:$A$35,0)),"Unit not found"))</f>
        <v/>
      </c>
      <c r="D306" s="48" t="str">
        <f>IF(B306="","",IF(J306="Y","(vacant)",IFERROR(INDEX(Tenants!$C$6:$C$35,MATCH(B306,Tenants!$A$6:$A$35,0)),"")))</f>
        <v/>
      </c>
      <c r="E306" s="56"/>
      <c r="F306" s="56"/>
      <c r="G306" s="56"/>
      <c r="H306" s="50"/>
      <c r="I306" s="47"/>
      <c r="J306" s="47"/>
      <c r="K306" s="48" t="str">
        <f ca="1">IF(B306="","",IF(UPPER(J306)="Y","Vacant",IF(AND(G306&gt;0,G306&gt;=E306+F306),IF(AND(H306&lt;&gt;"",A306&lt;&gt;"",H306&gt;A306+Settings!$C$7),"Paid late","Paid"),IF(G306&gt;0,"Partial",IF(AND(A306&lt;&gt;"",TODAY()&gt;A306+Settings!$C$7),"Unpaid","Due")))))</f>
        <v/>
      </c>
      <c r="L306" s="52" t="str">
        <f t="shared" si="20"/>
        <v/>
      </c>
      <c r="M306" s="47"/>
      <c r="N306" s="48" t="str">
        <f t="shared" si="21"/>
        <v/>
      </c>
      <c r="O306" s="48" t="str">
        <f>IF(B306="","",COUNTIF($B$7:B306,B306))</f>
        <v/>
      </c>
      <c r="P306" s="48" t="str">
        <f t="shared" si="22"/>
        <v/>
      </c>
      <c r="Q306" s="48" t="str">
        <f t="shared" si="23"/>
        <v/>
      </c>
      <c r="R306" s="48" t="str">
        <f t="shared" si="24"/>
        <v/>
      </c>
    </row>
    <row r="307" spans="1:18" ht="16" x14ac:dyDescent="0.2">
      <c r="A307" s="50"/>
      <c r="B307" s="47"/>
      <c r="C307" s="48" t="str">
        <f>IF(B307="","",IFERROR(INDEX(Tenants!$B$6:$B$35,MATCH(B307,Tenants!$A$6:$A$35,0)),"Unit not found"))</f>
        <v/>
      </c>
      <c r="D307" s="48" t="str">
        <f>IF(B307="","",IF(J307="Y","(vacant)",IFERROR(INDEX(Tenants!$C$6:$C$35,MATCH(B307,Tenants!$A$6:$A$35,0)),"")))</f>
        <v/>
      </c>
      <c r="E307" s="56"/>
      <c r="F307" s="56"/>
      <c r="G307" s="56"/>
      <c r="H307" s="50"/>
      <c r="I307" s="47"/>
      <c r="J307" s="47"/>
      <c r="K307" s="48" t="str">
        <f ca="1">IF(B307="","",IF(UPPER(J307)="Y","Vacant",IF(AND(G307&gt;0,G307&gt;=E307+F307),IF(AND(H307&lt;&gt;"",A307&lt;&gt;"",H307&gt;A307+Settings!$C$7),"Paid late","Paid"),IF(G307&gt;0,"Partial",IF(AND(A307&lt;&gt;"",TODAY()&gt;A307+Settings!$C$7),"Unpaid","Due")))))</f>
        <v/>
      </c>
      <c r="L307" s="52" t="str">
        <f t="shared" si="20"/>
        <v/>
      </c>
      <c r="M307" s="47"/>
      <c r="N307" s="48" t="str">
        <f t="shared" si="21"/>
        <v/>
      </c>
      <c r="O307" s="48" t="str">
        <f>IF(B307="","",COUNTIF($B$7:B307,B307))</f>
        <v/>
      </c>
      <c r="P307" s="48" t="str">
        <f t="shared" si="22"/>
        <v/>
      </c>
      <c r="Q307" s="48" t="str">
        <f t="shared" si="23"/>
        <v/>
      </c>
      <c r="R307" s="48" t="str">
        <f t="shared" si="24"/>
        <v/>
      </c>
    </row>
    <row r="308" spans="1:18" ht="16" x14ac:dyDescent="0.2">
      <c r="A308" s="50"/>
      <c r="B308" s="47"/>
      <c r="C308" s="48" t="str">
        <f>IF(B308="","",IFERROR(INDEX(Tenants!$B$6:$B$35,MATCH(B308,Tenants!$A$6:$A$35,0)),"Unit not found"))</f>
        <v/>
      </c>
      <c r="D308" s="48" t="str">
        <f>IF(B308="","",IF(J308="Y","(vacant)",IFERROR(INDEX(Tenants!$C$6:$C$35,MATCH(B308,Tenants!$A$6:$A$35,0)),"")))</f>
        <v/>
      </c>
      <c r="E308" s="56"/>
      <c r="F308" s="56"/>
      <c r="G308" s="56"/>
      <c r="H308" s="50"/>
      <c r="I308" s="47"/>
      <c r="J308" s="47"/>
      <c r="K308" s="48" t="str">
        <f ca="1">IF(B308="","",IF(UPPER(J308)="Y","Vacant",IF(AND(G308&gt;0,G308&gt;=E308+F308),IF(AND(H308&lt;&gt;"",A308&lt;&gt;"",H308&gt;A308+Settings!$C$7),"Paid late","Paid"),IF(G308&gt;0,"Partial",IF(AND(A308&lt;&gt;"",TODAY()&gt;A308+Settings!$C$7),"Unpaid","Due")))))</f>
        <v/>
      </c>
      <c r="L308" s="52" t="str">
        <f t="shared" si="20"/>
        <v/>
      </c>
      <c r="M308" s="47"/>
      <c r="N308" s="48" t="str">
        <f t="shared" si="21"/>
        <v/>
      </c>
      <c r="O308" s="48" t="str">
        <f>IF(B308="","",COUNTIF($B$7:B308,B308))</f>
        <v/>
      </c>
      <c r="P308" s="48" t="str">
        <f t="shared" si="22"/>
        <v/>
      </c>
      <c r="Q308" s="48" t="str">
        <f t="shared" si="23"/>
        <v/>
      </c>
      <c r="R308" s="48" t="str">
        <f t="shared" si="24"/>
        <v/>
      </c>
    </row>
    <row r="309" spans="1:18" ht="16" x14ac:dyDescent="0.2">
      <c r="A309" s="50"/>
      <c r="B309" s="47"/>
      <c r="C309" s="48" t="str">
        <f>IF(B309="","",IFERROR(INDEX(Tenants!$B$6:$B$35,MATCH(B309,Tenants!$A$6:$A$35,0)),"Unit not found"))</f>
        <v/>
      </c>
      <c r="D309" s="48" t="str">
        <f>IF(B309="","",IF(J309="Y","(vacant)",IFERROR(INDEX(Tenants!$C$6:$C$35,MATCH(B309,Tenants!$A$6:$A$35,0)),"")))</f>
        <v/>
      </c>
      <c r="E309" s="56"/>
      <c r="F309" s="56"/>
      <c r="G309" s="56"/>
      <c r="H309" s="50"/>
      <c r="I309" s="47"/>
      <c r="J309" s="47"/>
      <c r="K309" s="48" t="str">
        <f ca="1">IF(B309="","",IF(UPPER(J309)="Y","Vacant",IF(AND(G309&gt;0,G309&gt;=E309+F309),IF(AND(H309&lt;&gt;"",A309&lt;&gt;"",H309&gt;A309+Settings!$C$7),"Paid late","Paid"),IF(G309&gt;0,"Partial",IF(AND(A309&lt;&gt;"",TODAY()&gt;A309+Settings!$C$7),"Unpaid","Due")))))</f>
        <v/>
      </c>
      <c r="L309" s="52" t="str">
        <f t="shared" si="20"/>
        <v/>
      </c>
      <c r="M309" s="47"/>
      <c r="N309" s="48" t="str">
        <f t="shared" si="21"/>
        <v/>
      </c>
      <c r="O309" s="48" t="str">
        <f>IF(B309="","",COUNTIF($B$7:B309,B309))</f>
        <v/>
      </c>
      <c r="P309" s="48" t="str">
        <f t="shared" si="22"/>
        <v/>
      </c>
      <c r="Q309" s="48" t="str">
        <f t="shared" si="23"/>
        <v/>
      </c>
      <c r="R309" s="48" t="str">
        <f t="shared" si="24"/>
        <v/>
      </c>
    </row>
    <row r="310" spans="1:18" ht="16" x14ac:dyDescent="0.2">
      <c r="A310" s="50"/>
      <c r="B310" s="47"/>
      <c r="C310" s="48" t="str">
        <f>IF(B310="","",IFERROR(INDEX(Tenants!$B$6:$B$35,MATCH(B310,Tenants!$A$6:$A$35,0)),"Unit not found"))</f>
        <v/>
      </c>
      <c r="D310" s="48" t="str">
        <f>IF(B310="","",IF(J310="Y","(vacant)",IFERROR(INDEX(Tenants!$C$6:$C$35,MATCH(B310,Tenants!$A$6:$A$35,0)),"")))</f>
        <v/>
      </c>
      <c r="E310" s="56"/>
      <c r="F310" s="56"/>
      <c r="G310" s="56"/>
      <c r="H310" s="50"/>
      <c r="I310" s="47"/>
      <c r="J310" s="47"/>
      <c r="K310" s="48" t="str">
        <f ca="1">IF(B310="","",IF(UPPER(J310)="Y","Vacant",IF(AND(G310&gt;0,G310&gt;=E310+F310),IF(AND(H310&lt;&gt;"",A310&lt;&gt;"",H310&gt;A310+Settings!$C$7),"Paid late","Paid"),IF(G310&gt;0,"Partial",IF(AND(A310&lt;&gt;"",TODAY()&gt;A310+Settings!$C$7),"Unpaid","Due")))))</f>
        <v/>
      </c>
      <c r="L310" s="52" t="str">
        <f t="shared" si="20"/>
        <v/>
      </c>
      <c r="M310" s="47"/>
      <c r="N310" s="48" t="str">
        <f t="shared" si="21"/>
        <v/>
      </c>
      <c r="O310" s="48" t="str">
        <f>IF(B310="","",COUNTIF($B$7:B310,B310))</f>
        <v/>
      </c>
      <c r="P310" s="48" t="str">
        <f t="shared" si="22"/>
        <v/>
      </c>
      <c r="Q310" s="48" t="str">
        <f t="shared" si="23"/>
        <v/>
      </c>
      <c r="R310" s="48" t="str">
        <f t="shared" si="24"/>
        <v/>
      </c>
    </row>
    <row r="311" spans="1:18" ht="16" x14ac:dyDescent="0.2">
      <c r="A311" s="50"/>
      <c r="B311" s="47"/>
      <c r="C311" s="48" t="str">
        <f>IF(B311="","",IFERROR(INDEX(Tenants!$B$6:$B$35,MATCH(B311,Tenants!$A$6:$A$35,0)),"Unit not found"))</f>
        <v/>
      </c>
      <c r="D311" s="48" t="str">
        <f>IF(B311="","",IF(J311="Y","(vacant)",IFERROR(INDEX(Tenants!$C$6:$C$35,MATCH(B311,Tenants!$A$6:$A$35,0)),"")))</f>
        <v/>
      </c>
      <c r="E311" s="56"/>
      <c r="F311" s="56"/>
      <c r="G311" s="56"/>
      <c r="H311" s="50"/>
      <c r="I311" s="47"/>
      <c r="J311" s="47"/>
      <c r="K311" s="48" t="str">
        <f ca="1">IF(B311="","",IF(UPPER(J311)="Y","Vacant",IF(AND(G311&gt;0,G311&gt;=E311+F311),IF(AND(H311&lt;&gt;"",A311&lt;&gt;"",H311&gt;A311+Settings!$C$7),"Paid late","Paid"),IF(G311&gt;0,"Partial",IF(AND(A311&lt;&gt;"",TODAY()&gt;A311+Settings!$C$7),"Unpaid","Due")))))</f>
        <v/>
      </c>
      <c r="L311" s="52" t="str">
        <f t="shared" si="20"/>
        <v/>
      </c>
      <c r="M311" s="47"/>
      <c r="N311" s="48" t="str">
        <f t="shared" si="21"/>
        <v/>
      </c>
      <c r="O311" s="48" t="str">
        <f>IF(B311="","",COUNTIF($B$7:B311,B311))</f>
        <v/>
      </c>
      <c r="P311" s="48" t="str">
        <f t="shared" si="22"/>
        <v/>
      </c>
      <c r="Q311" s="48" t="str">
        <f t="shared" si="23"/>
        <v/>
      </c>
      <c r="R311" s="48" t="str">
        <f t="shared" si="24"/>
        <v/>
      </c>
    </row>
    <row r="312" spans="1:18" ht="16" x14ac:dyDescent="0.2">
      <c r="A312" s="50"/>
      <c r="B312" s="47"/>
      <c r="C312" s="48" t="str">
        <f>IF(B312="","",IFERROR(INDEX(Tenants!$B$6:$B$35,MATCH(B312,Tenants!$A$6:$A$35,0)),"Unit not found"))</f>
        <v/>
      </c>
      <c r="D312" s="48" t="str">
        <f>IF(B312="","",IF(J312="Y","(vacant)",IFERROR(INDEX(Tenants!$C$6:$C$35,MATCH(B312,Tenants!$A$6:$A$35,0)),"")))</f>
        <v/>
      </c>
      <c r="E312" s="56"/>
      <c r="F312" s="56"/>
      <c r="G312" s="56"/>
      <c r="H312" s="50"/>
      <c r="I312" s="47"/>
      <c r="J312" s="47"/>
      <c r="K312" s="48" t="str">
        <f ca="1">IF(B312="","",IF(UPPER(J312)="Y","Vacant",IF(AND(G312&gt;0,G312&gt;=E312+F312),IF(AND(H312&lt;&gt;"",A312&lt;&gt;"",H312&gt;A312+Settings!$C$7),"Paid late","Paid"),IF(G312&gt;0,"Partial",IF(AND(A312&lt;&gt;"",TODAY()&gt;A312+Settings!$C$7),"Unpaid","Due")))))</f>
        <v/>
      </c>
      <c r="L312" s="52" t="str">
        <f t="shared" si="20"/>
        <v/>
      </c>
      <c r="M312" s="47"/>
      <c r="N312" s="48" t="str">
        <f t="shared" si="21"/>
        <v/>
      </c>
      <c r="O312" s="48" t="str">
        <f>IF(B312="","",COUNTIF($B$7:B312,B312))</f>
        <v/>
      </c>
      <c r="P312" s="48" t="str">
        <f t="shared" si="22"/>
        <v/>
      </c>
      <c r="Q312" s="48" t="str">
        <f t="shared" si="23"/>
        <v/>
      </c>
      <c r="R312" s="48" t="str">
        <f t="shared" si="24"/>
        <v/>
      </c>
    </row>
    <row r="313" spans="1:18" ht="16" x14ac:dyDescent="0.2">
      <c r="A313" s="50"/>
      <c r="B313" s="47"/>
      <c r="C313" s="48" t="str">
        <f>IF(B313="","",IFERROR(INDEX(Tenants!$B$6:$B$35,MATCH(B313,Tenants!$A$6:$A$35,0)),"Unit not found"))</f>
        <v/>
      </c>
      <c r="D313" s="48" t="str">
        <f>IF(B313="","",IF(J313="Y","(vacant)",IFERROR(INDEX(Tenants!$C$6:$C$35,MATCH(B313,Tenants!$A$6:$A$35,0)),"")))</f>
        <v/>
      </c>
      <c r="E313" s="56"/>
      <c r="F313" s="56"/>
      <c r="G313" s="56"/>
      <c r="H313" s="50"/>
      <c r="I313" s="47"/>
      <c r="J313" s="47"/>
      <c r="K313" s="48" t="str">
        <f ca="1">IF(B313="","",IF(UPPER(J313)="Y","Vacant",IF(AND(G313&gt;0,G313&gt;=E313+F313),IF(AND(H313&lt;&gt;"",A313&lt;&gt;"",H313&gt;A313+Settings!$C$7),"Paid late","Paid"),IF(G313&gt;0,"Partial",IF(AND(A313&lt;&gt;"",TODAY()&gt;A313+Settings!$C$7),"Unpaid","Due")))))</f>
        <v/>
      </c>
      <c r="L313" s="52" t="str">
        <f t="shared" si="20"/>
        <v/>
      </c>
      <c r="M313" s="47"/>
      <c r="N313" s="48" t="str">
        <f t="shared" si="21"/>
        <v/>
      </c>
      <c r="O313" s="48" t="str">
        <f>IF(B313="","",COUNTIF($B$7:B313,B313))</f>
        <v/>
      </c>
      <c r="P313" s="48" t="str">
        <f t="shared" si="22"/>
        <v/>
      </c>
      <c r="Q313" s="48" t="str">
        <f t="shared" si="23"/>
        <v/>
      </c>
      <c r="R313" s="48" t="str">
        <f t="shared" si="24"/>
        <v/>
      </c>
    </row>
    <row r="314" spans="1:18" ht="16" x14ac:dyDescent="0.2">
      <c r="A314" s="50"/>
      <c r="B314" s="47"/>
      <c r="C314" s="48" t="str">
        <f>IF(B314="","",IFERROR(INDEX(Tenants!$B$6:$B$35,MATCH(B314,Tenants!$A$6:$A$35,0)),"Unit not found"))</f>
        <v/>
      </c>
      <c r="D314" s="48" t="str">
        <f>IF(B314="","",IF(J314="Y","(vacant)",IFERROR(INDEX(Tenants!$C$6:$C$35,MATCH(B314,Tenants!$A$6:$A$35,0)),"")))</f>
        <v/>
      </c>
      <c r="E314" s="56"/>
      <c r="F314" s="56"/>
      <c r="G314" s="56"/>
      <c r="H314" s="50"/>
      <c r="I314" s="47"/>
      <c r="J314" s="47"/>
      <c r="K314" s="48" t="str">
        <f ca="1">IF(B314="","",IF(UPPER(J314)="Y","Vacant",IF(AND(G314&gt;0,G314&gt;=E314+F314),IF(AND(H314&lt;&gt;"",A314&lt;&gt;"",H314&gt;A314+Settings!$C$7),"Paid late","Paid"),IF(G314&gt;0,"Partial",IF(AND(A314&lt;&gt;"",TODAY()&gt;A314+Settings!$C$7),"Unpaid","Due")))))</f>
        <v/>
      </c>
      <c r="L314" s="52" t="str">
        <f t="shared" si="20"/>
        <v/>
      </c>
      <c r="M314" s="47"/>
      <c r="N314" s="48" t="str">
        <f t="shared" si="21"/>
        <v/>
      </c>
      <c r="O314" s="48" t="str">
        <f>IF(B314="","",COUNTIF($B$7:B314,B314))</f>
        <v/>
      </c>
      <c r="P314" s="48" t="str">
        <f t="shared" si="22"/>
        <v/>
      </c>
      <c r="Q314" s="48" t="str">
        <f t="shared" si="23"/>
        <v/>
      </c>
      <c r="R314" s="48" t="str">
        <f t="shared" si="24"/>
        <v/>
      </c>
    </row>
    <row r="315" spans="1:18" ht="16" x14ac:dyDescent="0.2">
      <c r="A315" s="50"/>
      <c r="B315" s="47"/>
      <c r="C315" s="48" t="str">
        <f>IF(B315="","",IFERROR(INDEX(Tenants!$B$6:$B$35,MATCH(B315,Tenants!$A$6:$A$35,0)),"Unit not found"))</f>
        <v/>
      </c>
      <c r="D315" s="48" t="str">
        <f>IF(B315="","",IF(J315="Y","(vacant)",IFERROR(INDEX(Tenants!$C$6:$C$35,MATCH(B315,Tenants!$A$6:$A$35,0)),"")))</f>
        <v/>
      </c>
      <c r="E315" s="56"/>
      <c r="F315" s="56"/>
      <c r="G315" s="56"/>
      <c r="H315" s="50"/>
      <c r="I315" s="47"/>
      <c r="J315" s="47"/>
      <c r="K315" s="48" t="str">
        <f ca="1">IF(B315="","",IF(UPPER(J315)="Y","Vacant",IF(AND(G315&gt;0,G315&gt;=E315+F315),IF(AND(H315&lt;&gt;"",A315&lt;&gt;"",H315&gt;A315+Settings!$C$7),"Paid late","Paid"),IF(G315&gt;0,"Partial",IF(AND(A315&lt;&gt;"",TODAY()&gt;A315+Settings!$C$7),"Unpaid","Due")))))</f>
        <v/>
      </c>
      <c r="L315" s="52" t="str">
        <f t="shared" si="20"/>
        <v/>
      </c>
      <c r="M315" s="47"/>
      <c r="N315" s="48" t="str">
        <f t="shared" si="21"/>
        <v/>
      </c>
      <c r="O315" s="48" t="str">
        <f>IF(B315="","",COUNTIF($B$7:B315,B315))</f>
        <v/>
      </c>
      <c r="P315" s="48" t="str">
        <f t="shared" si="22"/>
        <v/>
      </c>
      <c r="Q315" s="48" t="str">
        <f t="shared" si="23"/>
        <v/>
      </c>
      <c r="R315" s="48" t="str">
        <f t="shared" si="24"/>
        <v/>
      </c>
    </row>
    <row r="316" spans="1:18" ht="16" x14ac:dyDescent="0.2">
      <c r="A316" s="50"/>
      <c r="B316" s="47"/>
      <c r="C316" s="48" t="str">
        <f>IF(B316="","",IFERROR(INDEX(Tenants!$B$6:$B$35,MATCH(B316,Tenants!$A$6:$A$35,0)),"Unit not found"))</f>
        <v/>
      </c>
      <c r="D316" s="48" t="str">
        <f>IF(B316="","",IF(J316="Y","(vacant)",IFERROR(INDEX(Tenants!$C$6:$C$35,MATCH(B316,Tenants!$A$6:$A$35,0)),"")))</f>
        <v/>
      </c>
      <c r="E316" s="56"/>
      <c r="F316" s="56"/>
      <c r="G316" s="56"/>
      <c r="H316" s="50"/>
      <c r="I316" s="47"/>
      <c r="J316" s="47"/>
      <c r="K316" s="48" t="str">
        <f ca="1">IF(B316="","",IF(UPPER(J316)="Y","Vacant",IF(AND(G316&gt;0,G316&gt;=E316+F316),IF(AND(H316&lt;&gt;"",A316&lt;&gt;"",H316&gt;A316+Settings!$C$7),"Paid late","Paid"),IF(G316&gt;0,"Partial",IF(AND(A316&lt;&gt;"",TODAY()&gt;A316+Settings!$C$7),"Unpaid","Due")))))</f>
        <v/>
      </c>
      <c r="L316" s="52" t="str">
        <f t="shared" si="20"/>
        <v/>
      </c>
      <c r="M316" s="47"/>
      <c r="N316" s="48" t="str">
        <f t="shared" si="21"/>
        <v/>
      </c>
      <c r="O316" s="48" t="str">
        <f>IF(B316="","",COUNTIF($B$7:B316,B316))</f>
        <v/>
      </c>
      <c r="P316" s="48" t="str">
        <f t="shared" si="22"/>
        <v/>
      </c>
      <c r="Q316" s="48" t="str">
        <f t="shared" si="23"/>
        <v/>
      </c>
      <c r="R316" s="48" t="str">
        <f t="shared" si="24"/>
        <v/>
      </c>
    </row>
    <row r="317" spans="1:18" ht="16" x14ac:dyDescent="0.2">
      <c r="A317" s="50"/>
      <c r="B317" s="47"/>
      <c r="C317" s="48" t="str">
        <f>IF(B317="","",IFERROR(INDEX(Tenants!$B$6:$B$35,MATCH(B317,Tenants!$A$6:$A$35,0)),"Unit not found"))</f>
        <v/>
      </c>
      <c r="D317" s="48" t="str">
        <f>IF(B317="","",IF(J317="Y","(vacant)",IFERROR(INDEX(Tenants!$C$6:$C$35,MATCH(B317,Tenants!$A$6:$A$35,0)),"")))</f>
        <v/>
      </c>
      <c r="E317" s="56"/>
      <c r="F317" s="56"/>
      <c r="G317" s="56"/>
      <c r="H317" s="50"/>
      <c r="I317" s="47"/>
      <c r="J317" s="47"/>
      <c r="K317" s="48" t="str">
        <f ca="1">IF(B317="","",IF(UPPER(J317)="Y","Vacant",IF(AND(G317&gt;0,G317&gt;=E317+F317),IF(AND(H317&lt;&gt;"",A317&lt;&gt;"",H317&gt;A317+Settings!$C$7),"Paid late","Paid"),IF(G317&gt;0,"Partial",IF(AND(A317&lt;&gt;"",TODAY()&gt;A317+Settings!$C$7),"Unpaid","Due")))))</f>
        <v/>
      </c>
      <c r="L317" s="52" t="str">
        <f t="shared" si="20"/>
        <v/>
      </c>
      <c r="M317" s="47"/>
      <c r="N317" s="48" t="str">
        <f t="shared" si="21"/>
        <v/>
      </c>
      <c r="O317" s="48" t="str">
        <f>IF(B317="","",COUNTIF($B$7:B317,B317))</f>
        <v/>
      </c>
      <c r="P317" s="48" t="str">
        <f t="shared" si="22"/>
        <v/>
      </c>
      <c r="Q317" s="48" t="str">
        <f t="shared" si="23"/>
        <v/>
      </c>
      <c r="R317" s="48" t="str">
        <f t="shared" si="24"/>
        <v/>
      </c>
    </row>
    <row r="318" spans="1:18" ht="16" x14ac:dyDescent="0.2">
      <c r="A318" s="50"/>
      <c r="B318" s="47"/>
      <c r="C318" s="48" t="str">
        <f>IF(B318="","",IFERROR(INDEX(Tenants!$B$6:$B$35,MATCH(B318,Tenants!$A$6:$A$35,0)),"Unit not found"))</f>
        <v/>
      </c>
      <c r="D318" s="48" t="str">
        <f>IF(B318="","",IF(J318="Y","(vacant)",IFERROR(INDEX(Tenants!$C$6:$C$35,MATCH(B318,Tenants!$A$6:$A$35,0)),"")))</f>
        <v/>
      </c>
      <c r="E318" s="56"/>
      <c r="F318" s="56"/>
      <c r="G318" s="56"/>
      <c r="H318" s="50"/>
      <c r="I318" s="47"/>
      <c r="J318" s="47"/>
      <c r="K318" s="48" t="str">
        <f ca="1">IF(B318="","",IF(UPPER(J318)="Y","Vacant",IF(AND(G318&gt;0,G318&gt;=E318+F318),IF(AND(H318&lt;&gt;"",A318&lt;&gt;"",H318&gt;A318+Settings!$C$7),"Paid late","Paid"),IF(G318&gt;0,"Partial",IF(AND(A318&lt;&gt;"",TODAY()&gt;A318+Settings!$C$7),"Unpaid","Due")))))</f>
        <v/>
      </c>
      <c r="L318" s="52" t="str">
        <f t="shared" si="20"/>
        <v/>
      </c>
      <c r="M318" s="47"/>
      <c r="N318" s="48" t="str">
        <f t="shared" si="21"/>
        <v/>
      </c>
      <c r="O318" s="48" t="str">
        <f>IF(B318="","",COUNTIF($B$7:B318,B318))</f>
        <v/>
      </c>
      <c r="P318" s="48" t="str">
        <f t="shared" si="22"/>
        <v/>
      </c>
      <c r="Q318" s="48" t="str">
        <f t="shared" si="23"/>
        <v/>
      </c>
      <c r="R318" s="48" t="str">
        <f t="shared" si="24"/>
        <v/>
      </c>
    </row>
    <row r="319" spans="1:18" ht="16" x14ac:dyDescent="0.2">
      <c r="A319" s="50"/>
      <c r="B319" s="47"/>
      <c r="C319" s="48" t="str">
        <f>IF(B319="","",IFERROR(INDEX(Tenants!$B$6:$B$35,MATCH(B319,Tenants!$A$6:$A$35,0)),"Unit not found"))</f>
        <v/>
      </c>
      <c r="D319" s="48" t="str">
        <f>IF(B319="","",IF(J319="Y","(vacant)",IFERROR(INDEX(Tenants!$C$6:$C$35,MATCH(B319,Tenants!$A$6:$A$35,0)),"")))</f>
        <v/>
      </c>
      <c r="E319" s="56"/>
      <c r="F319" s="56"/>
      <c r="G319" s="56"/>
      <c r="H319" s="50"/>
      <c r="I319" s="47"/>
      <c r="J319" s="47"/>
      <c r="K319" s="48" t="str">
        <f ca="1">IF(B319="","",IF(UPPER(J319)="Y","Vacant",IF(AND(G319&gt;0,G319&gt;=E319+F319),IF(AND(H319&lt;&gt;"",A319&lt;&gt;"",H319&gt;A319+Settings!$C$7),"Paid late","Paid"),IF(G319&gt;0,"Partial",IF(AND(A319&lt;&gt;"",TODAY()&gt;A319+Settings!$C$7),"Unpaid","Due")))))</f>
        <v/>
      </c>
      <c r="L319" s="52" t="str">
        <f t="shared" si="20"/>
        <v/>
      </c>
      <c r="M319" s="47"/>
      <c r="N319" s="48" t="str">
        <f t="shared" si="21"/>
        <v/>
      </c>
      <c r="O319" s="48" t="str">
        <f>IF(B319="","",COUNTIF($B$7:B319,B319))</f>
        <v/>
      </c>
      <c r="P319" s="48" t="str">
        <f t="shared" si="22"/>
        <v/>
      </c>
      <c r="Q319" s="48" t="str">
        <f t="shared" si="23"/>
        <v/>
      </c>
      <c r="R319" s="48" t="str">
        <f t="shared" si="24"/>
        <v/>
      </c>
    </row>
    <row r="320" spans="1:18" ht="16" x14ac:dyDescent="0.2">
      <c r="A320" s="50"/>
      <c r="B320" s="47"/>
      <c r="C320" s="48" t="str">
        <f>IF(B320="","",IFERROR(INDEX(Tenants!$B$6:$B$35,MATCH(B320,Tenants!$A$6:$A$35,0)),"Unit not found"))</f>
        <v/>
      </c>
      <c r="D320" s="48" t="str">
        <f>IF(B320="","",IF(J320="Y","(vacant)",IFERROR(INDEX(Tenants!$C$6:$C$35,MATCH(B320,Tenants!$A$6:$A$35,0)),"")))</f>
        <v/>
      </c>
      <c r="E320" s="56"/>
      <c r="F320" s="56"/>
      <c r="G320" s="56"/>
      <c r="H320" s="50"/>
      <c r="I320" s="47"/>
      <c r="J320" s="47"/>
      <c r="K320" s="48" t="str">
        <f ca="1">IF(B320="","",IF(UPPER(J320)="Y","Vacant",IF(AND(G320&gt;0,G320&gt;=E320+F320),IF(AND(H320&lt;&gt;"",A320&lt;&gt;"",H320&gt;A320+Settings!$C$7),"Paid late","Paid"),IF(G320&gt;0,"Partial",IF(AND(A320&lt;&gt;"",TODAY()&gt;A320+Settings!$C$7),"Unpaid","Due")))))</f>
        <v/>
      </c>
      <c r="L320" s="52" t="str">
        <f t="shared" si="20"/>
        <v/>
      </c>
      <c r="M320" s="47"/>
      <c r="N320" s="48" t="str">
        <f t="shared" si="21"/>
        <v/>
      </c>
      <c r="O320" s="48" t="str">
        <f>IF(B320="","",COUNTIF($B$7:B320,B320))</f>
        <v/>
      </c>
      <c r="P320" s="48" t="str">
        <f t="shared" si="22"/>
        <v/>
      </c>
      <c r="Q320" s="48" t="str">
        <f t="shared" si="23"/>
        <v/>
      </c>
      <c r="R320" s="48" t="str">
        <f t="shared" si="24"/>
        <v/>
      </c>
    </row>
    <row r="321" spans="1:18" ht="16" x14ac:dyDescent="0.2">
      <c r="A321" s="50"/>
      <c r="B321" s="47"/>
      <c r="C321" s="48" t="str">
        <f>IF(B321="","",IFERROR(INDEX(Tenants!$B$6:$B$35,MATCH(B321,Tenants!$A$6:$A$35,0)),"Unit not found"))</f>
        <v/>
      </c>
      <c r="D321" s="48" t="str">
        <f>IF(B321="","",IF(J321="Y","(vacant)",IFERROR(INDEX(Tenants!$C$6:$C$35,MATCH(B321,Tenants!$A$6:$A$35,0)),"")))</f>
        <v/>
      </c>
      <c r="E321" s="56"/>
      <c r="F321" s="56"/>
      <c r="G321" s="56"/>
      <c r="H321" s="50"/>
      <c r="I321" s="47"/>
      <c r="J321" s="47"/>
      <c r="K321" s="48" t="str">
        <f ca="1">IF(B321="","",IF(UPPER(J321)="Y","Vacant",IF(AND(G321&gt;0,G321&gt;=E321+F321),IF(AND(H321&lt;&gt;"",A321&lt;&gt;"",H321&gt;A321+Settings!$C$7),"Paid late","Paid"),IF(G321&gt;0,"Partial",IF(AND(A321&lt;&gt;"",TODAY()&gt;A321+Settings!$C$7),"Unpaid","Due")))))</f>
        <v/>
      </c>
      <c r="L321" s="52" t="str">
        <f t="shared" si="20"/>
        <v/>
      </c>
      <c r="M321" s="47"/>
      <c r="N321" s="48" t="str">
        <f t="shared" si="21"/>
        <v/>
      </c>
      <c r="O321" s="48" t="str">
        <f>IF(B321="","",COUNTIF($B$7:B321,B321))</f>
        <v/>
      </c>
      <c r="P321" s="48" t="str">
        <f t="shared" si="22"/>
        <v/>
      </c>
      <c r="Q321" s="48" t="str">
        <f t="shared" si="23"/>
        <v/>
      </c>
      <c r="R321" s="48" t="str">
        <f t="shared" si="24"/>
        <v/>
      </c>
    </row>
    <row r="322" spans="1:18" ht="16" x14ac:dyDescent="0.2">
      <c r="A322" s="50"/>
      <c r="B322" s="47"/>
      <c r="C322" s="48" t="str">
        <f>IF(B322="","",IFERROR(INDEX(Tenants!$B$6:$B$35,MATCH(B322,Tenants!$A$6:$A$35,0)),"Unit not found"))</f>
        <v/>
      </c>
      <c r="D322" s="48" t="str">
        <f>IF(B322="","",IF(J322="Y","(vacant)",IFERROR(INDEX(Tenants!$C$6:$C$35,MATCH(B322,Tenants!$A$6:$A$35,0)),"")))</f>
        <v/>
      </c>
      <c r="E322" s="56"/>
      <c r="F322" s="56"/>
      <c r="G322" s="56"/>
      <c r="H322" s="50"/>
      <c r="I322" s="47"/>
      <c r="J322" s="47"/>
      <c r="K322" s="48" t="str">
        <f ca="1">IF(B322="","",IF(UPPER(J322)="Y","Vacant",IF(AND(G322&gt;0,G322&gt;=E322+F322),IF(AND(H322&lt;&gt;"",A322&lt;&gt;"",H322&gt;A322+Settings!$C$7),"Paid late","Paid"),IF(G322&gt;0,"Partial",IF(AND(A322&lt;&gt;"",TODAY()&gt;A322+Settings!$C$7),"Unpaid","Due")))))</f>
        <v/>
      </c>
      <c r="L322" s="52" t="str">
        <f t="shared" si="20"/>
        <v/>
      </c>
      <c r="M322" s="47"/>
      <c r="N322" s="48" t="str">
        <f t="shared" si="21"/>
        <v/>
      </c>
      <c r="O322" s="48" t="str">
        <f>IF(B322="","",COUNTIF($B$7:B322,B322))</f>
        <v/>
      </c>
      <c r="P322" s="48" t="str">
        <f t="shared" si="22"/>
        <v/>
      </c>
      <c r="Q322" s="48" t="str">
        <f t="shared" si="23"/>
        <v/>
      </c>
      <c r="R322" s="48" t="str">
        <f t="shared" si="24"/>
        <v/>
      </c>
    </row>
    <row r="323" spans="1:18" ht="16" x14ac:dyDescent="0.2">
      <c r="A323" s="50"/>
      <c r="B323" s="47"/>
      <c r="C323" s="48" t="str">
        <f>IF(B323="","",IFERROR(INDEX(Tenants!$B$6:$B$35,MATCH(B323,Tenants!$A$6:$A$35,0)),"Unit not found"))</f>
        <v/>
      </c>
      <c r="D323" s="48" t="str">
        <f>IF(B323="","",IF(J323="Y","(vacant)",IFERROR(INDEX(Tenants!$C$6:$C$35,MATCH(B323,Tenants!$A$6:$A$35,0)),"")))</f>
        <v/>
      </c>
      <c r="E323" s="56"/>
      <c r="F323" s="56"/>
      <c r="G323" s="56"/>
      <c r="H323" s="50"/>
      <c r="I323" s="47"/>
      <c r="J323" s="47"/>
      <c r="K323" s="48" t="str">
        <f ca="1">IF(B323="","",IF(UPPER(J323)="Y","Vacant",IF(AND(G323&gt;0,G323&gt;=E323+F323),IF(AND(H323&lt;&gt;"",A323&lt;&gt;"",H323&gt;A323+Settings!$C$7),"Paid late","Paid"),IF(G323&gt;0,"Partial",IF(AND(A323&lt;&gt;"",TODAY()&gt;A323+Settings!$C$7),"Unpaid","Due")))))</f>
        <v/>
      </c>
      <c r="L323" s="52" t="str">
        <f t="shared" si="20"/>
        <v/>
      </c>
      <c r="M323" s="47"/>
      <c r="N323" s="48" t="str">
        <f t="shared" si="21"/>
        <v/>
      </c>
      <c r="O323" s="48" t="str">
        <f>IF(B323="","",COUNTIF($B$7:B323,B323))</f>
        <v/>
      </c>
      <c r="P323" s="48" t="str">
        <f t="shared" si="22"/>
        <v/>
      </c>
      <c r="Q323" s="48" t="str">
        <f t="shared" si="23"/>
        <v/>
      </c>
      <c r="R323" s="48" t="str">
        <f t="shared" si="24"/>
        <v/>
      </c>
    </row>
    <row r="324" spans="1:18" ht="16" x14ac:dyDescent="0.2">
      <c r="A324" s="50"/>
      <c r="B324" s="47"/>
      <c r="C324" s="48" t="str">
        <f>IF(B324="","",IFERROR(INDEX(Tenants!$B$6:$B$35,MATCH(B324,Tenants!$A$6:$A$35,0)),"Unit not found"))</f>
        <v/>
      </c>
      <c r="D324" s="48" t="str">
        <f>IF(B324="","",IF(J324="Y","(vacant)",IFERROR(INDEX(Tenants!$C$6:$C$35,MATCH(B324,Tenants!$A$6:$A$35,0)),"")))</f>
        <v/>
      </c>
      <c r="E324" s="56"/>
      <c r="F324" s="56"/>
      <c r="G324" s="56"/>
      <c r="H324" s="50"/>
      <c r="I324" s="47"/>
      <c r="J324" s="47"/>
      <c r="K324" s="48" t="str">
        <f ca="1">IF(B324="","",IF(UPPER(J324)="Y","Vacant",IF(AND(G324&gt;0,G324&gt;=E324+F324),IF(AND(H324&lt;&gt;"",A324&lt;&gt;"",H324&gt;A324+Settings!$C$7),"Paid late","Paid"),IF(G324&gt;0,"Partial",IF(AND(A324&lt;&gt;"",TODAY()&gt;A324+Settings!$C$7),"Unpaid","Due")))))</f>
        <v/>
      </c>
      <c r="L324" s="52" t="str">
        <f t="shared" si="20"/>
        <v/>
      </c>
      <c r="M324" s="47"/>
      <c r="N324" s="48" t="str">
        <f t="shared" si="21"/>
        <v/>
      </c>
      <c r="O324" s="48" t="str">
        <f>IF(B324="","",COUNTIF($B$7:B324,B324))</f>
        <v/>
      </c>
      <c r="P324" s="48" t="str">
        <f t="shared" si="22"/>
        <v/>
      </c>
      <c r="Q324" s="48" t="str">
        <f t="shared" si="23"/>
        <v/>
      </c>
      <c r="R324" s="48" t="str">
        <f t="shared" si="24"/>
        <v/>
      </c>
    </row>
    <row r="325" spans="1:18" ht="16" x14ac:dyDescent="0.2">
      <c r="A325" s="50"/>
      <c r="B325" s="47"/>
      <c r="C325" s="48" t="str">
        <f>IF(B325="","",IFERROR(INDEX(Tenants!$B$6:$B$35,MATCH(B325,Tenants!$A$6:$A$35,0)),"Unit not found"))</f>
        <v/>
      </c>
      <c r="D325" s="48" t="str">
        <f>IF(B325="","",IF(J325="Y","(vacant)",IFERROR(INDEX(Tenants!$C$6:$C$35,MATCH(B325,Tenants!$A$6:$A$35,0)),"")))</f>
        <v/>
      </c>
      <c r="E325" s="56"/>
      <c r="F325" s="56"/>
      <c r="G325" s="56"/>
      <c r="H325" s="50"/>
      <c r="I325" s="47"/>
      <c r="J325" s="47"/>
      <c r="K325" s="48" t="str">
        <f ca="1">IF(B325="","",IF(UPPER(J325)="Y","Vacant",IF(AND(G325&gt;0,G325&gt;=E325+F325),IF(AND(H325&lt;&gt;"",A325&lt;&gt;"",H325&gt;A325+Settings!$C$7),"Paid late","Paid"),IF(G325&gt;0,"Partial",IF(AND(A325&lt;&gt;"",TODAY()&gt;A325+Settings!$C$7),"Unpaid","Due")))))</f>
        <v/>
      </c>
      <c r="L325" s="52" t="str">
        <f t="shared" si="20"/>
        <v/>
      </c>
      <c r="M325" s="47"/>
      <c r="N325" s="48" t="str">
        <f t="shared" si="21"/>
        <v/>
      </c>
      <c r="O325" s="48" t="str">
        <f>IF(B325="","",COUNTIF($B$7:B325,B325))</f>
        <v/>
      </c>
      <c r="P325" s="48" t="str">
        <f t="shared" si="22"/>
        <v/>
      </c>
      <c r="Q325" s="48" t="str">
        <f t="shared" si="23"/>
        <v/>
      </c>
      <c r="R325" s="48" t="str">
        <f t="shared" si="24"/>
        <v/>
      </c>
    </row>
    <row r="326" spans="1:18" ht="16" x14ac:dyDescent="0.2">
      <c r="A326" s="50"/>
      <c r="B326" s="47"/>
      <c r="C326" s="48" t="str">
        <f>IF(B326="","",IFERROR(INDEX(Tenants!$B$6:$B$35,MATCH(B326,Tenants!$A$6:$A$35,0)),"Unit not found"))</f>
        <v/>
      </c>
      <c r="D326" s="48" t="str">
        <f>IF(B326="","",IF(J326="Y","(vacant)",IFERROR(INDEX(Tenants!$C$6:$C$35,MATCH(B326,Tenants!$A$6:$A$35,0)),"")))</f>
        <v/>
      </c>
      <c r="E326" s="56"/>
      <c r="F326" s="56"/>
      <c r="G326" s="56"/>
      <c r="H326" s="50"/>
      <c r="I326" s="47"/>
      <c r="J326" s="47"/>
      <c r="K326" s="48" t="str">
        <f ca="1">IF(B326="","",IF(UPPER(J326)="Y","Vacant",IF(AND(G326&gt;0,G326&gt;=E326+F326),IF(AND(H326&lt;&gt;"",A326&lt;&gt;"",H326&gt;A326+Settings!$C$7),"Paid late","Paid"),IF(G326&gt;0,"Partial",IF(AND(A326&lt;&gt;"",TODAY()&gt;A326+Settings!$C$7),"Unpaid","Due")))))</f>
        <v/>
      </c>
      <c r="L326" s="52" t="str">
        <f t="shared" si="20"/>
        <v/>
      </c>
      <c r="M326" s="47"/>
      <c r="N326" s="48" t="str">
        <f t="shared" si="21"/>
        <v/>
      </c>
      <c r="O326" s="48" t="str">
        <f>IF(B326="","",COUNTIF($B$7:B326,B326))</f>
        <v/>
      </c>
      <c r="P326" s="48" t="str">
        <f t="shared" si="22"/>
        <v/>
      </c>
      <c r="Q326" s="48" t="str">
        <f t="shared" si="23"/>
        <v/>
      </c>
      <c r="R326" s="48" t="str">
        <f t="shared" si="24"/>
        <v/>
      </c>
    </row>
    <row r="327" spans="1:18" ht="16" x14ac:dyDescent="0.2">
      <c r="A327" s="50"/>
      <c r="B327" s="47"/>
      <c r="C327" s="48" t="str">
        <f>IF(B327="","",IFERROR(INDEX(Tenants!$B$6:$B$35,MATCH(B327,Tenants!$A$6:$A$35,0)),"Unit not found"))</f>
        <v/>
      </c>
      <c r="D327" s="48" t="str">
        <f>IF(B327="","",IF(J327="Y","(vacant)",IFERROR(INDEX(Tenants!$C$6:$C$35,MATCH(B327,Tenants!$A$6:$A$35,0)),"")))</f>
        <v/>
      </c>
      <c r="E327" s="56"/>
      <c r="F327" s="56"/>
      <c r="G327" s="56"/>
      <c r="H327" s="50"/>
      <c r="I327" s="47"/>
      <c r="J327" s="47"/>
      <c r="K327" s="48" t="str">
        <f ca="1">IF(B327="","",IF(UPPER(J327)="Y","Vacant",IF(AND(G327&gt;0,G327&gt;=E327+F327),IF(AND(H327&lt;&gt;"",A327&lt;&gt;"",H327&gt;A327+Settings!$C$7),"Paid late","Paid"),IF(G327&gt;0,"Partial",IF(AND(A327&lt;&gt;"",TODAY()&gt;A327+Settings!$C$7),"Unpaid","Due")))))</f>
        <v/>
      </c>
      <c r="L327" s="52" t="str">
        <f t="shared" ref="L327:L390" si="25">IF(OR(B327="",UPPER(J327)="Y"),"",E327+F327-G327)</f>
        <v/>
      </c>
      <c r="M327" s="47"/>
      <c r="N327" s="48" t="str">
        <f t="shared" ref="N327:N390" si="26">IF(OR(B327="",G327=0,G327=""),"",YEAR(IF(H327="",A327,H327)))</f>
        <v/>
      </c>
      <c r="O327" s="48" t="str">
        <f>IF(B327="","",COUNTIF($B$7:B327,B327))</f>
        <v/>
      </c>
      <c r="P327" s="48" t="str">
        <f t="shared" ref="P327:P390" si="27">IF(B327="","",B327&amp;"|"&amp;O327)</f>
        <v/>
      </c>
      <c r="Q327" s="48" t="str">
        <f t="shared" ref="Q327:Q390" si="28">IF(OR(B327="",G327=0,G327=""),"",YEAR(IF(H327="",A327,H327))*100+MONTH(IF(H327="",A327,H327)))</f>
        <v/>
      </c>
      <c r="R327" s="48" t="str">
        <f t="shared" ref="R327:R390" si="29">IF(OR(B327="",A327=""),"",YEAR(A327))</f>
        <v/>
      </c>
    </row>
    <row r="328" spans="1:18" ht="16" x14ac:dyDescent="0.2">
      <c r="A328" s="50"/>
      <c r="B328" s="47"/>
      <c r="C328" s="48" t="str">
        <f>IF(B328="","",IFERROR(INDEX(Tenants!$B$6:$B$35,MATCH(B328,Tenants!$A$6:$A$35,0)),"Unit not found"))</f>
        <v/>
      </c>
      <c r="D328" s="48" t="str">
        <f>IF(B328="","",IF(J328="Y","(vacant)",IFERROR(INDEX(Tenants!$C$6:$C$35,MATCH(B328,Tenants!$A$6:$A$35,0)),"")))</f>
        <v/>
      </c>
      <c r="E328" s="56"/>
      <c r="F328" s="56"/>
      <c r="G328" s="56"/>
      <c r="H328" s="50"/>
      <c r="I328" s="47"/>
      <c r="J328" s="47"/>
      <c r="K328" s="48" t="str">
        <f ca="1">IF(B328="","",IF(UPPER(J328)="Y","Vacant",IF(AND(G328&gt;0,G328&gt;=E328+F328),IF(AND(H328&lt;&gt;"",A328&lt;&gt;"",H328&gt;A328+Settings!$C$7),"Paid late","Paid"),IF(G328&gt;0,"Partial",IF(AND(A328&lt;&gt;"",TODAY()&gt;A328+Settings!$C$7),"Unpaid","Due")))))</f>
        <v/>
      </c>
      <c r="L328" s="52" t="str">
        <f t="shared" si="25"/>
        <v/>
      </c>
      <c r="M328" s="47"/>
      <c r="N328" s="48" t="str">
        <f t="shared" si="26"/>
        <v/>
      </c>
      <c r="O328" s="48" t="str">
        <f>IF(B328="","",COUNTIF($B$7:B328,B328))</f>
        <v/>
      </c>
      <c r="P328" s="48" t="str">
        <f t="shared" si="27"/>
        <v/>
      </c>
      <c r="Q328" s="48" t="str">
        <f t="shared" si="28"/>
        <v/>
      </c>
      <c r="R328" s="48" t="str">
        <f t="shared" si="29"/>
        <v/>
      </c>
    </row>
    <row r="329" spans="1:18" ht="16" x14ac:dyDescent="0.2">
      <c r="A329" s="50"/>
      <c r="B329" s="47"/>
      <c r="C329" s="48" t="str">
        <f>IF(B329="","",IFERROR(INDEX(Tenants!$B$6:$B$35,MATCH(B329,Tenants!$A$6:$A$35,0)),"Unit not found"))</f>
        <v/>
      </c>
      <c r="D329" s="48" t="str">
        <f>IF(B329="","",IF(J329="Y","(vacant)",IFERROR(INDEX(Tenants!$C$6:$C$35,MATCH(B329,Tenants!$A$6:$A$35,0)),"")))</f>
        <v/>
      </c>
      <c r="E329" s="56"/>
      <c r="F329" s="56"/>
      <c r="G329" s="56"/>
      <c r="H329" s="50"/>
      <c r="I329" s="47"/>
      <c r="J329" s="47"/>
      <c r="K329" s="48" t="str">
        <f ca="1">IF(B329="","",IF(UPPER(J329)="Y","Vacant",IF(AND(G329&gt;0,G329&gt;=E329+F329),IF(AND(H329&lt;&gt;"",A329&lt;&gt;"",H329&gt;A329+Settings!$C$7),"Paid late","Paid"),IF(G329&gt;0,"Partial",IF(AND(A329&lt;&gt;"",TODAY()&gt;A329+Settings!$C$7),"Unpaid","Due")))))</f>
        <v/>
      </c>
      <c r="L329" s="52" t="str">
        <f t="shared" si="25"/>
        <v/>
      </c>
      <c r="M329" s="47"/>
      <c r="N329" s="48" t="str">
        <f t="shared" si="26"/>
        <v/>
      </c>
      <c r="O329" s="48" t="str">
        <f>IF(B329="","",COUNTIF($B$7:B329,B329))</f>
        <v/>
      </c>
      <c r="P329" s="48" t="str">
        <f t="shared" si="27"/>
        <v/>
      </c>
      <c r="Q329" s="48" t="str">
        <f t="shared" si="28"/>
        <v/>
      </c>
      <c r="R329" s="48" t="str">
        <f t="shared" si="29"/>
        <v/>
      </c>
    </row>
    <row r="330" spans="1:18" ht="16" x14ac:dyDescent="0.2">
      <c r="A330" s="50"/>
      <c r="B330" s="47"/>
      <c r="C330" s="48" t="str">
        <f>IF(B330="","",IFERROR(INDEX(Tenants!$B$6:$B$35,MATCH(B330,Tenants!$A$6:$A$35,0)),"Unit not found"))</f>
        <v/>
      </c>
      <c r="D330" s="48" t="str">
        <f>IF(B330="","",IF(J330="Y","(vacant)",IFERROR(INDEX(Tenants!$C$6:$C$35,MATCH(B330,Tenants!$A$6:$A$35,0)),"")))</f>
        <v/>
      </c>
      <c r="E330" s="56"/>
      <c r="F330" s="56"/>
      <c r="G330" s="56"/>
      <c r="H330" s="50"/>
      <c r="I330" s="47"/>
      <c r="J330" s="47"/>
      <c r="K330" s="48" t="str">
        <f ca="1">IF(B330="","",IF(UPPER(J330)="Y","Vacant",IF(AND(G330&gt;0,G330&gt;=E330+F330),IF(AND(H330&lt;&gt;"",A330&lt;&gt;"",H330&gt;A330+Settings!$C$7),"Paid late","Paid"),IF(G330&gt;0,"Partial",IF(AND(A330&lt;&gt;"",TODAY()&gt;A330+Settings!$C$7),"Unpaid","Due")))))</f>
        <v/>
      </c>
      <c r="L330" s="52" t="str">
        <f t="shared" si="25"/>
        <v/>
      </c>
      <c r="M330" s="47"/>
      <c r="N330" s="48" t="str">
        <f t="shared" si="26"/>
        <v/>
      </c>
      <c r="O330" s="48" t="str">
        <f>IF(B330="","",COUNTIF($B$7:B330,B330))</f>
        <v/>
      </c>
      <c r="P330" s="48" t="str">
        <f t="shared" si="27"/>
        <v/>
      </c>
      <c r="Q330" s="48" t="str">
        <f t="shared" si="28"/>
        <v/>
      </c>
      <c r="R330" s="48" t="str">
        <f t="shared" si="29"/>
        <v/>
      </c>
    </row>
    <row r="331" spans="1:18" ht="16" x14ac:dyDescent="0.2">
      <c r="A331" s="50"/>
      <c r="B331" s="47"/>
      <c r="C331" s="48" t="str">
        <f>IF(B331="","",IFERROR(INDEX(Tenants!$B$6:$B$35,MATCH(B331,Tenants!$A$6:$A$35,0)),"Unit not found"))</f>
        <v/>
      </c>
      <c r="D331" s="48" t="str">
        <f>IF(B331="","",IF(J331="Y","(vacant)",IFERROR(INDEX(Tenants!$C$6:$C$35,MATCH(B331,Tenants!$A$6:$A$35,0)),"")))</f>
        <v/>
      </c>
      <c r="E331" s="56"/>
      <c r="F331" s="56"/>
      <c r="G331" s="56"/>
      <c r="H331" s="50"/>
      <c r="I331" s="47"/>
      <c r="J331" s="47"/>
      <c r="K331" s="48" t="str">
        <f ca="1">IF(B331="","",IF(UPPER(J331)="Y","Vacant",IF(AND(G331&gt;0,G331&gt;=E331+F331),IF(AND(H331&lt;&gt;"",A331&lt;&gt;"",H331&gt;A331+Settings!$C$7),"Paid late","Paid"),IF(G331&gt;0,"Partial",IF(AND(A331&lt;&gt;"",TODAY()&gt;A331+Settings!$C$7),"Unpaid","Due")))))</f>
        <v/>
      </c>
      <c r="L331" s="52" t="str">
        <f t="shared" si="25"/>
        <v/>
      </c>
      <c r="M331" s="47"/>
      <c r="N331" s="48" t="str">
        <f t="shared" si="26"/>
        <v/>
      </c>
      <c r="O331" s="48" t="str">
        <f>IF(B331="","",COUNTIF($B$7:B331,B331))</f>
        <v/>
      </c>
      <c r="P331" s="48" t="str">
        <f t="shared" si="27"/>
        <v/>
      </c>
      <c r="Q331" s="48" t="str">
        <f t="shared" si="28"/>
        <v/>
      </c>
      <c r="R331" s="48" t="str">
        <f t="shared" si="29"/>
        <v/>
      </c>
    </row>
    <row r="332" spans="1:18" ht="16" x14ac:dyDescent="0.2">
      <c r="A332" s="50"/>
      <c r="B332" s="47"/>
      <c r="C332" s="48" t="str">
        <f>IF(B332="","",IFERROR(INDEX(Tenants!$B$6:$B$35,MATCH(B332,Tenants!$A$6:$A$35,0)),"Unit not found"))</f>
        <v/>
      </c>
      <c r="D332" s="48" t="str">
        <f>IF(B332="","",IF(J332="Y","(vacant)",IFERROR(INDEX(Tenants!$C$6:$C$35,MATCH(B332,Tenants!$A$6:$A$35,0)),"")))</f>
        <v/>
      </c>
      <c r="E332" s="56"/>
      <c r="F332" s="56"/>
      <c r="G332" s="56"/>
      <c r="H332" s="50"/>
      <c r="I332" s="47"/>
      <c r="J332" s="47"/>
      <c r="K332" s="48" t="str">
        <f ca="1">IF(B332="","",IF(UPPER(J332)="Y","Vacant",IF(AND(G332&gt;0,G332&gt;=E332+F332),IF(AND(H332&lt;&gt;"",A332&lt;&gt;"",H332&gt;A332+Settings!$C$7),"Paid late","Paid"),IF(G332&gt;0,"Partial",IF(AND(A332&lt;&gt;"",TODAY()&gt;A332+Settings!$C$7),"Unpaid","Due")))))</f>
        <v/>
      </c>
      <c r="L332" s="52" t="str">
        <f t="shared" si="25"/>
        <v/>
      </c>
      <c r="M332" s="47"/>
      <c r="N332" s="48" t="str">
        <f t="shared" si="26"/>
        <v/>
      </c>
      <c r="O332" s="48" t="str">
        <f>IF(B332="","",COUNTIF($B$7:B332,B332))</f>
        <v/>
      </c>
      <c r="P332" s="48" t="str">
        <f t="shared" si="27"/>
        <v/>
      </c>
      <c r="Q332" s="48" t="str">
        <f t="shared" si="28"/>
        <v/>
      </c>
      <c r="R332" s="48" t="str">
        <f t="shared" si="29"/>
        <v/>
      </c>
    </row>
    <row r="333" spans="1:18" ht="16" x14ac:dyDescent="0.2">
      <c r="A333" s="50"/>
      <c r="B333" s="47"/>
      <c r="C333" s="48" t="str">
        <f>IF(B333="","",IFERROR(INDEX(Tenants!$B$6:$B$35,MATCH(B333,Tenants!$A$6:$A$35,0)),"Unit not found"))</f>
        <v/>
      </c>
      <c r="D333" s="48" t="str">
        <f>IF(B333="","",IF(J333="Y","(vacant)",IFERROR(INDEX(Tenants!$C$6:$C$35,MATCH(B333,Tenants!$A$6:$A$35,0)),"")))</f>
        <v/>
      </c>
      <c r="E333" s="56"/>
      <c r="F333" s="56"/>
      <c r="G333" s="56"/>
      <c r="H333" s="50"/>
      <c r="I333" s="47"/>
      <c r="J333" s="47"/>
      <c r="K333" s="48" t="str">
        <f ca="1">IF(B333="","",IF(UPPER(J333)="Y","Vacant",IF(AND(G333&gt;0,G333&gt;=E333+F333),IF(AND(H333&lt;&gt;"",A333&lt;&gt;"",H333&gt;A333+Settings!$C$7),"Paid late","Paid"),IF(G333&gt;0,"Partial",IF(AND(A333&lt;&gt;"",TODAY()&gt;A333+Settings!$C$7),"Unpaid","Due")))))</f>
        <v/>
      </c>
      <c r="L333" s="52" t="str">
        <f t="shared" si="25"/>
        <v/>
      </c>
      <c r="M333" s="47"/>
      <c r="N333" s="48" t="str">
        <f t="shared" si="26"/>
        <v/>
      </c>
      <c r="O333" s="48" t="str">
        <f>IF(B333="","",COUNTIF($B$7:B333,B333))</f>
        <v/>
      </c>
      <c r="P333" s="48" t="str">
        <f t="shared" si="27"/>
        <v/>
      </c>
      <c r="Q333" s="48" t="str">
        <f t="shared" si="28"/>
        <v/>
      </c>
      <c r="R333" s="48" t="str">
        <f t="shared" si="29"/>
        <v/>
      </c>
    </row>
    <row r="334" spans="1:18" ht="16" x14ac:dyDescent="0.2">
      <c r="A334" s="50"/>
      <c r="B334" s="47"/>
      <c r="C334" s="48" t="str">
        <f>IF(B334="","",IFERROR(INDEX(Tenants!$B$6:$B$35,MATCH(B334,Tenants!$A$6:$A$35,0)),"Unit not found"))</f>
        <v/>
      </c>
      <c r="D334" s="48" t="str">
        <f>IF(B334="","",IF(J334="Y","(vacant)",IFERROR(INDEX(Tenants!$C$6:$C$35,MATCH(B334,Tenants!$A$6:$A$35,0)),"")))</f>
        <v/>
      </c>
      <c r="E334" s="56"/>
      <c r="F334" s="56"/>
      <c r="G334" s="56"/>
      <c r="H334" s="50"/>
      <c r="I334" s="47"/>
      <c r="J334" s="47"/>
      <c r="K334" s="48" t="str">
        <f ca="1">IF(B334="","",IF(UPPER(J334)="Y","Vacant",IF(AND(G334&gt;0,G334&gt;=E334+F334),IF(AND(H334&lt;&gt;"",A334&lt;&gt;"",H334&gt;A334+Settings!$C$7),"Paid late","Paid"),IF(G334&gt;0,"Partial",IF(AND(A334&lt;&gt;"",TODAY()&gt;A334+Settings!$C$7),"Unpaid","Due")))))</f>
        <v/>
      </c>
      <c r="L334" s="52" t="str">
        <f t="shared" si="25"/>
        <v/>
      </c>
      <c r="M334" s="47"/>
      <c r="N334" s="48" t="str">
        <f t="shared" si="26"/>
        <v/>
      </c>
      <c r="O334" s="48" t="str">
        <f>IF(B334="","",COUNTIF($B$7:B334,B334))</f>
        <v/>
      </c>
      <c r="P334" s="48" t="str">
        <f t="shared" si="27"/>
        <v/>
      </c>
      <c r="Q334" s="48" t="str">
        <f t="shared" si="28"/>
        <v/>
      </c>
      <c r="R334" s="48" t="str">
        <f t="shared" si="29"/>
        <v/>
      </c>
    </row>
    <row r="335" spans="1:18" ht="16" x14ac:dyDescent="0.2">
      <c r="A335" s="50"/>
      <c r="B335" s="47"/>
      <c r="C335" s="48" t="str">
        <f>IF(B335="","",IFERROR(INDEX(Tenants!$B$6:$B$35,MATCH(B335,Tenants!$A$6:$A$35,0)),"Unit not found"))</f>
        <v/>
      </c>
      <c r="D335" s="48" t="str">
        <f>IF(B335="","",IF(J335="Y","(vacant)",IFERROR(INDEX(Tenants!$C$6:$C$35,MATCH(B335,Tenants!$A$6:$A$35,0)),"")))</f>
        <v/>
      </c>
      <c r="E335" s="56"/>
      <c r="F335" s="56"/>
      <c r="G335" s="56"/>
      <c r="H335" s="50"/>
      <c r="I335" s="47"/>
      <c r="J335" s="47"/>
      <c r="K335" s="48" t="str">
        <f ca="1">IF(B335="","",IF(UPPER(J335)="Y","Vacant",IF(AND(G335&gt;0,G335&gt;=E335+F335),IF(AND(H335&lt;&gt;"",A335&lt;&gt;"",H335&gt;A335+Settings!$C$7),"Paid late","Paid"),IF(G335&gt;0,"Partial",IF(AND(A335&lt;&gt;"",TODAY()&gt;A335+Settings!$C$7),"Unpaid","Due")))))</f>
        <v/>
      </c>
      <c r="L335" s="52" t="str">
        <f t="shared" si="25"/>
        <v/>
      </c>
      <c r="M335" s="47"/>
      <c r="N335" s="48" t="str">
        <f t="shared" si="26"/>
        <v/>
      </c>
      <c r="O335" s="48" t="str">
        <f>IF(B335="","",COUNTIF($B$7:B335,B335))</f>
        <v/>
      </c>
      <c r="P335" s="48" t="str">
        <f t="shared" si="27"/>
        <v/>
      </c>
      <c r="Q335" s="48" t="str">
        <f t="shared" si="28"/>
        <v/>
      </c>
      <c r="R335" s="48" t="str">
        <f t="shared" si="29"/>
        <v/>
      </c>
    </row>
    <row r="336" spans="1:18" ht="16" x14ac:dyDescent="0.2">
      <c r="A336" s="50"/>
      <c r="B336" s="47"/>
      <c r="C336" s="48" t="str">
        <f>IF(B336="","",IFERROR(INDEX(Tenants!$B$6:$B$35,MATCH(B336,Tenants!$A$6:$A$35,0)),"Unit not found"))</f>
        <v/>
      </c>
      <c r="D336" s="48" t="str">
        <f>IF(B336="","",IF(J336="Y","(vacant)",IFERROR(INDEX(Tenants!$C$6:$C$35,MATCH(B336,Tenants!$A$6:$A$35,0)),"")))</f>
        <v/>
      </c>
      <c r="E336" s="56"/>
      <c r="F336" s="56"/>
      <c r="G336" s="56"/>
      <c r="H336" s="50"/>
      <c r="I336" s="47"/>
      <c r="J336" s="47"/>
      <c r="K336" s="48" t="str">
        <f ca="1">IF(B336="","",IF(UPPER(J336)="Y","Vacant",IF(AND(G336&gt;0,G336&gt;=E336+F336),IF(AND(H336&lt;&gt;"",A336&lt;&gt;"",H336&gt;A336+Settings!$C$7),"Paid late","Paid"),IF(G336&gt;0,"Partial",IF(AND(A336&lt;&gt;"",TODAY()&gt;A336+Settings!$C$7),"Unpaid","Due")))))</f>
        <v/>
      </c>
      <c r="L336" s="52" t="str">
        <f t="shared" si="25"/>
        <v/>
      </c>
      <c r="M336" s="47"/>
      <c r="N336" s="48" t="str">
        <f t="shared" si="26"/>
        <v/>
      </c>
      <c r="O336" s="48" t="str">
        <f>IF(B336="","",COUNTIF($B$7:B336,B336))</f>
        <v/>
      </c>
      <c r="P336" s="48" t="str">
        <f t="shared" si="27"/>
        <v/>
      </c>
      <c r="Q336" s="48" t="str">
        <f t="shared" si="28"/>
        <v/>
      </c>
      <c r="R336" s="48" t="str">
        <f t="shared" si="29"/>
        <v/>
      </c>
    </row>
    <row r="337" spans="1:18" ht="16" x14ac:dyDescent="0.2">
      <c r="A337" s="50"/>
      <c r="B337" s="47"/>
      <c r="C337" s="48" t="str">
        <f>IF(B337="","",IFERROR(INDEX(Tenants!$B$6:$B$35,MATCH(B337,Tenants!$A$6:$A$35,0)),"Unit not found"))</f>
        <v/>
      </c>
      <c r="D337" s="48" t="str">
        <f>IF(B337="","",IF(J337="Y","(vacant)",IFERROR(INDEX(Tenants!$C$6:$C$35,MATCH(B337,Tenants!$A$6:$A$35,0)),"")))</f>
        <v/>
      </c>
      <c r="E337" s="56"/>
      <c r="F337" s="56"/>
      <c r="G337" s="56"/>
      <c r="H337" s="50"/>
      <c r="I337" s="47"/>
      <c r="J337" s="47"/>
      <c r="K337" s="48" t="str">
        <f ca="1">IF(B337="","",IF(UPPER(J337)="Y","Vacant",IF(AND(G337&gt;0,G337&gt;=E337+F337),IF(AND(H337&lt;&gt;"",A337&lt;&gt;"",H337&gt;A337+Settings!$C$7),"Paid late","Paid"),IF(G337&gt;0,"Partial",IF(AND(A337&lt;&gt;"",TODAY()&gt;A337+Settings!$C$7),"Unpaid","Due")))))</f>
        <v/>
      </c>
      <c r="L337" s="52" t="str">
        <f t="shared" si="25"/>
        <v/>
      </c>
      <c r="M337" s="47"/>
      <c r="N337" s="48" t="str">
        <f t="shared" si="26"/>
        <v/>
      </c>
      <c r="O337" s="48" t="str">
        <f>IF(B337="","",COUNTIF($B$7:B337,B337))</f>
        <v/>
      </c>
      <c r="P337" s="48" t="str">
        <f t="shared" si="27"/>
        <v/>
      </c>
      <c r="Q337" s="48" t="str">
        <f t="shared" si="28"/>
        <v/>
      </c>
      <c r="R337" s="48" t="str">
        <f t="shared" si="29"/>
        <v/>
      </c>
    </row>
    <row r="338" spans="1:18" ht="16" x14ac:dyDescent="0.2">
      <c r="A338" s="50"/>
      <c r="B338" s="47"/>
      <c r="C338" s="48" t="str">
        <f>IF(B338="","",IFERROR(INDEX(Tenants!$B$6:$B$35,MATCH(B338,Tenants!$A$6:$A$35,0)),"Unit not found"))</f>
        <v/>
      </c>
      <c r="D338" s="48" t="str">
        <f>IF(B338="","",IF(J338="Y","(vacant)",IFERROR(INDEX(Tenants!$C$6:$C$35,MATCH(B338,Tenants!$A$6:$A$35,0)),"")))</f>
        <v/>
      </c>
      <c r="E338" s="56"/>
      <c r="F338" s="56"/>
      <c r="G338" s="56"/>
      <c r="H338" s="50"/>
      <c r="I338" s="47"/>
      <c r="J338" s="47"/>
      <c r="K338" s="48" t="str">
        <f ca="1">IF(B338="","",IF(UPPER(J338)="Y","Vacant",IF(AND(G338&gt;0,G338&gt;=E338+F338),IF(AND(H338&lt;&gt;"",A338&lt;&gt;"",H338&gt;A338+Settings!$C$7),"Paid late","Paid"),IF(G338&gt;0,"Partial",IF(AND(A338&lt;&gt;"",TODAY()&gt;A338+Settings!$C$7),"Unpaid","Due")))))</f>
        <v/>
      </c>
      <c r="L338" s="52" t="str">
        <f t="shared" si="25"/>
        <v/>
      </c>
      <c r="M338" s="47"/>
      <c r="N338" s="48" t="str">
        <f t="shared" si="26"/>
        <v/>
      </c>
      <c r="O338" s="48" t="str">
        <f>IF(B338="","",COUNTIF($B$7:B338,B338))</f>
        <v/>
      </c>
      <c r="P338" s="48" t="str">
        <f t="shared" si="27"/>
        <v/>
      </c>
      <c r="Q338" s="48" t="str">
        <f t="shared" si="28"/>
        <v/>
      </c>
      <c r="R338" s="48" t="str">
        <f t="shared" si="29"/>
        <v/>
      </c>
    </row>
    <row r="339" spans="1:18" ht="16" x14ac:dyDescent="0.2">
      <c r="A339" s="50"/>
      <c r="B339" s="47"/>
      <c r="C339" s="48" t="str">
        <f>IF(B339="","",IFERROR(INDEX(Tenants!$B$6:$B$35,MATCH(B339,Tenants!$A$6:$A$35,0)),"Unit not found"))</f>
        <v/>
      </c>
      <c r="D339" s="48" t="str">
        <f>IF(B339="","",IF(J339="Y","(vacant)",IFERROR(INDEX(Tenants!$C$6:$C$35,MATCH(B339,Tenants!$A$6:$A$35,0)),"")))</f>
        <v/>
      </c>
      <c r="E339" s="56"/>
      <c r="F339" s="56"/>
      <c r="G339" s="56"/>
      <c r="H339" s="50"/>
      <c r="I339" s="47"/>
      <c r="J339" s="47"/>
      <c r="K339" s="48" t="str">
        <f ca="1">IF(B339="","",IF(UPPER(J339)="Y","Vacant",IF(AND(G339&gt;0,G339&gt;=E339+F339),IF(AND(H339&lt;&gt;"",A339&lt;&gt;"",H339&gt;A339+Settings!$C$7),"Paid late","Paid"),IF(G339&gt;0,"Partial",IF(AND(A339&lt;&gt;"",TODAY()&gt;A339+Settings!$C$7),"Unpaid","Due")))))</f>
        <v/>
      </c>
      <c r="L339" s="52" t="str">
        <f t="shared" si="25"/>
        <v/>
      </c>
      <c r="M339" s="47"/>
      <c r="N339" s="48" t="str">
        <f t="shared" si="26"/>
        <v/>
      </c>
      <c r="O339" s="48" t="str">
        <f>IF(B339="","",COUNTIF($B$7:B339,B339))</f>
        <v/>
      </c>
      <c r="P339" s="48" t="str">
        <f t="shared" si="27"/>
        <v/>
      </c>
      <c r="Q339" s="48" t="str">
        <f t="shared" si="28"/>
        <v/>
      </c>
      <c r="R339" s="48" t="str">
        <f t="shared" si="29"/>
        <v/>
      </c>
    </row>
    <row r="340" spans="1:18" ht="16" x14ac:dyDescent="0.2">
      <c r="A340" s="50"/>
      <c r="B340" s="47"/>
      <c r="C340" s="48" t="str">
        <f>IF(B340="","",IFERROR(INDEX(Tenants!$B$6:$B$35,MATCH(B340,Tenants!$A$6:$A$35,0)),"Unit not found"))</f>
        <v/>
      </c>
      <c r="D340" s="48" t="str">
        <f>IF(B340="","",IF(J340="Y","(vacant)",IFERROR(INDEX(Tenants!$C$6:$C$35,MATCH(B340,Tenants!$A$6:$A$35,0)),"")))</f>
        <v/>
      </c>
      <c r="E340" s="56"/>
      <c r="F340" s="56"/>
      <c r="G340" s="56"/>
      <c r="H340" s="50"/>
      <c r="I340" s="47"/>
      <c r="J340" s="47"/>
      <c r="K340" s="48" t="str">
        <f ca="1">IF(B340="","",IF(UPPER(J340)="Y","Vacant",IF(AND(G340&gt;0,G340&gt;=E340+F340),IF(AND(H340&lt;&gt;"",A340&lt;&gt;"",H340&gt;A340+Settings!$C$7),"Paid late","Paid"),IF(G340&gt;0,"Partial",IF(AND(A340&lt;&gt;"",TODAY()&gt;A340+Settings!$C$7),"Unpaid","Due")))))</f>
        <v/>
      </c>
      <c r="L340" s="52" t="str">
        <f t="shared" si="25"/>
        <v/>
      </c>
      <c r="M340" s="47"/>
      <c r="N340" s="48" t="str">
        <f t="shared" si="26"/>
        <v/>
      </c>
      <c r="O340" s="48" t="str">
        <f>IF(B340="","",COUNTIF($B$7:B340,B340))</f>
        <v/>
      </c>
      <c r="P340" s="48" t="str">
        <f t="shared" si="27"/>
        <v/>
      </c>
      <c r="Q340" s="48" t="str">
        <f t="shared" si="28"/>
        <v/>
      </c>
      <c r="R340" s="48" t="str">
        <f t="shared" si="29"/>
        <v/>
      </c>
    </row>
    <row r="341" spans="1:18" ht="16" x14ac:dyDescent="0.2">
      <c r="A341" s="50"/>
      <c r="B341" s="47"/>
      <c r="C341" s="48" t="str">
        <f>IF(B341="","",IFERROR(INDEX(Tenants!$B$6:$B$35,MATCH(B341,Tenants!$A$6:$A$35,0)),"Unit not found"))</f>
        <v/>
      </c>
      <c r="D341" s="48" t="str">
        <f>IF(B341="","",IF(J341="Y","(vacant)",IFERROR(INDEX(Tenants!$C$6:$C$35,MATCH(B341,Tenants!$A$6:$A$35,0)),"")))</f>
        <v/>
      </c>
      <c r="E341" s="56"/>
      <c r="F341" s="56"/>
      <c r="G341" s="56"/>
      <c r="H341" s="50"/>
      <c r="I341" s="47"/>
      <c r="J341" s="47"/>
      <c r="K341" s="48" t="str">
        <f ca="1">IF(B341="","",IF(UPPER(J341)="Y","Vacant",IF(AND(G341&gt;0,G341&gt;=E341+F341),IF(AND(H341&lt;&gt;"",A341&lt;&gt;"",H341&gt;A341+Settings!$C$7),"Paid late","Paid"),IF(G341&gt;0,"Partial",IF(AND(A341&lt;&gt;"",TODAY()&gt;A341+Settings!$C$7),"Unpaid","Due")))))</f>
        <v/>
      </c>
      <c r="L341" s="52" t="str">
        <f t="shared" si="25"/>
        <v/>
      </c>
      <c r="M341" s="47"/>
      <c r="N341" s="48" t="str">
        <f t="shared" si="26"/>
        <v/>
      </c>
      <c r="O341" s="48" t="str">
        <f>IF(B341="","",COUNTIF($B$7:B341,B341))</f>
        <v/>
      </c>
      <c r="P341" s="48" t="str">
        <f t="shared" si="27"/>
        <v/>
      </c>
      <c r="Q341" s="48" t="str">
        <f t="shared" si="28"/>
        <v/>
      </c>
      <c r="R341" s="48" t="str">
        <f t="shared" si="29"/>
        <v/>
      </c>
    </row>
    <row r="342" spans="1:18" ht="16" x14ac:dyDescent="0.2">
      <c r="A342" s="50"/>
      <c r="B342" s="47"/>
      <c r="C342" s="48" t="str">
        <f>IF(B342="","",IFERROR(INDEX(Tenants!$B$6:$B$35,MATCH(B342,Tenants!$A$6:$A$35,0)),"Unit not found"))</f>
        <v/>
      </c>
      <c r="D342" s="48" t="str">
        <f>IF(B342="","",IF(J342="Y","(vacant)",IFERROR(INDEX(Tenants!$C$6:$C$35,MATCH(B342,Tenants!$A$6:$A$35,0)),"")))</f>
        <v/>
      </c>
      <c r="E342" s="56"/>
      <c r="F342" s="56"/>
      <c r="G342" s="56"/>
      <c r="H342" s="50"/>
      <c r="I342" s="47"/>
      <c r="J342" s="47"/>
      <c r="K342" s="48" t="str">
        <f ca="1">IF(B342="","",IF(UPPER(J342)="Y","Vacant",IF(AND(G342&gt;0,G342&gt;=E342+F342),IF(AND(H342&lt;&gt;"",A342&lt;&gt;"",H342&gt;A342+Settings!$C$7),"Paid late","Paid"),IF(G342&gt;0,"Partial",IF(AND(A342&lt;&gt;"",TODAY()&gt;A342+Settings!$C$7),"Unpaid","Due")))))</f>
        <v/>
      </c>
      <c r="L342" s="52" t="str">
        <f t="shared" si="25"/>
        <v/>
      </c>
      <c r="M342" s="47"/>
      <c r="N342" s="48" t="str">
        <f t="shared" si="26"/>
        <v/>
      </c>
      <c r="O342" s="48" t="str">
        <f>IF(B342="","",COUNTIF($B$7:B342,B342))</f>
        <v/>
      </c>
      <c r="P342" s="48" t="str">
        <f t="shared" si="27"/>
        <v/>
      </c>
      <c r="Q342" s="48" t="str">
        <f t="shared" si="28"/>
        <v/>
      </c>
      <c r="R342" s="48" t="str">
        <f t="shared" si="29"/>
        <v/>
      </c>
    </row>
    <row r="343" spans="1:18" ht="16" x14ac:dyDescent="0.2">
      <c r="A343" s="50"/>
      <c r="B343" s="47"/>
      <c r="C343" s="48" t="str">
        <f>IF(B343="","",IFERROR(INDEX(Tenants!$B$6:$B$35,MATCH(B343,Tenants!$A$6:$A$35,0)),"Unit not found"))</f>
        <v/>
      </c>
      <c r="D343" s="48" t="str">
        <f>IF(B343="","",IF(J343="Y","(vacant)",IFERROR(INDEX(Tenants!$C$6:$C$35,MATCH(B343,Tenants!$A$6:$A$35,0)),"")))</f>
        <v/>
      </c>
      <c r="E343" s="56"/>
      <c r="F343" s="56"/>
      <c r="G343" s="56"/>
      <c r="H343" s="50"/>
      <c r="I343" s="47"/>
      <c r="J343" s="47"/>
      <c r="K343" s="48" t="str">
        <f ca="1">IF(B343="","",IF(UPPER(J343)="Y","Vacant",IF(AND(G343&gt;0,G343&gt;=E343+F343),IF(AND(H343&lt;&gt;"",A343&lt;&gt;"",H343&gt;A343+Settings!$C$7),"Paid late","Paid"),IF(G343&gt;0,"Partial",IF(AND(A343&lt;&gt;"",TODAY()&gt;A343+Settings!$C$7),"Unpaid","Due")))))</f>
        <v/>
      </c>
      <c r="L343" s="52" t="str">
        <f t="shared" si="25"/>
        <v/>
      </c>
      <c r="M343" s="47"/>
      <c r="N343" s="48" t="str">
        <f t="shared" si="26"/>
        <v/>
      </c>
      <c r="O343" s="48" t="str">
        <f>IF(B343="","",COUNTIF($B$7:B343,B343))</f>
        <v/>
      </c>
      <c r="P343" s="48" t="str">
        <f t="shared" si="27"/>
        <v/>
      </c>
      <c r="Q343" s="48" t="str">
        <f t="shared" si="28"/>
        <v/>
      </c>
      <c r="R343" s="48" t="str">
        <f t="shared" si="29"/>
        <v/>
      </c>
    </row>
    <row r="344" spans="1:18" ht="16" x14ac:dyDescent="0.2">
      <c r="A344" s="50"/>
      <c r="B344" s="47"/>
      <c r="C344" s="48" t="str">
        <f>IF(B344="","",IFERROR(INDEX(Tenants!$B$6:$B$35,MATCH(B344,Tenants!$A$6:$A$35,0)),"Unit not found"))</f>
        <v/>
      </c>
      <c r="D344" s="48" t="str">
        <f>IF(B344="","",IF(J344="Y","(vacant)",IFERROR(INDEX(Tenants!$C$6:$C$35,MATCH(B344,Tenants!$A$6:$A$35,0)),"")))</f>
        <v/>
      </c>
      <c r="E344" s="56"/>
      <c r="F344" s="56"/>
      <c r="G344" s="56"/>
      <c r="H344" s="50"/>
      <c r="I344" s="47"/>
      <c r="J344" s="47"/>
      <c r="K344" s="48" t="str">
        <f ca="1">IF(B344="","",IF(UPPER(J344)="Y","Vacant",IF(AND(G344&gt;0,G344&gt;=E344+F344),IF(AND(H344&lt;&gt;"",A344&lt;&gt;"",H344&gt;A344+Settings!$C$7),"Paid late","Paid"),IF(G344&gt;0,"Partial",IF(AND(A344&lt;&gt;"",TODAY()&gt;A344+Settings!$C$7),"Unpaid","Due")))))</f>
        <v/>
      </c>
      <c r="L344" s="52" t="str">
        <f t="shared" si="25"/>
        <v/>
      </c>
      <c r="M344" s="47"/>
      <c r="N344" s="48" t="str">
        <f t="shared" si="26"/>
        <v/>
      </c>
      <c r="O344" s="48" t="str">
        <f>IF(B344="","",COUNTIF($B$7:B344,B344))</f>
        <v/>
      </c>
      <c r="P344" s="48" t="str">
        <f t="shared" si="27"/>
        <v/>
      </c>
      <c r="Q344" s="48" t="str">
        <f t="shared" si="28"/>
        <v/>
      </c>
      <c r="R344" s="48" t="str">
        <f t="shared" si="29"/>
        <v/>
      </c>
    </row>
    <row r="345" spans="1:18" ht="16" x14ac:dyDescent="0.2">
      <c r="A345" s="50"/>
      <c r="B345" s="47"/>
      <c r="C345" s="48" t="str">
        <f>IF(B345="","",IFERROR(INDEX(Tenants!$B$6:$B$35,MATCH(B345,Tenants!$A$6:$A$35,0)),"Unit not found"))</f>
        <v/>
      </c>
      <c r="D345" s="48" t="str">
        <f>IF(B345="","",IF(J345="Y","(vacant)",IFERROR(INDEX(Tenants!$C$6:$C$35,MATCH(B345,Tenants!$A$6:$A$35,0)),"")))</f>
        <v/>
      </c>
      <c r="E345" s="56"/>
      <c r="F345" s="56"/>
      <c r="G345" s="56"/>
      <c r="H345" s="50"/>
      <c r="I345" s="47"/>
      <c r="J345" s="47"/>
      <c r="K345" s="48" t="str">
        <f ca="1">IF(B345="","",IF(UPPER(J345)="Y","Vacant",IF(AND(G345&gt;0,G345&gt;=E345+F345),IF(AND(H345&lt;&gt;"",A345&lt;&gt;"",H345&gt;A345+Settings!$C$7),"Paid late","Paid"),IF(G345&gt;0,"Partial",IF(AND(A345&lt;&gt;"",TODAY()&gt;A345+Settings!$C$7),"Unpaid","Due")))))</f>
        <v/>
      </c>
      <c r="L345" s="52" t="str">
        <f t="shared" si="25"/>
        <v/>
      </c>
      <c r="M345" s="47"/>
      <c r="N345" s="48" t="str">
        <f t="shared" si="26"/>
        <v/>
      </c>
      <c r="O345" s="48" t="str">
        <f>IF(B345="","",COUNTIF($B$7:B345,B345))</f>
        <v/>
      </c>
      <c r="P345" s="48" t="str">
        <f t="shared" si="27"/>
        <v/>
      </c>
      <c r="Q345" s="48" t="str">
        <f t="shared" si="28"/>
        <v/>
      </c>
      <c r="R345" s="48" t="str">
        <f t="shared" si="29"/>
        <v/>
      </c>
    </row>
    <row r="346" spans="1:18" ht="16" x14ac:dyDescent="0.2">
      <c r="A346" s="50"/>
      <c r="B346" s="47"/>
      <c r="C346" s="48" t="str">
        <f>IF(B346="","",IFERROR(INDEX(Tenants!$B$6:$B$35,MATCH(B346,Tenants!$A$6:$A$35,0)),"Unit not found"))</f>
        <v/>
      </c>
      <c r="D346" s="48" t="str">
        <f>IF(B346="","",IF(J346="Y","(vacant)",IFERROR(INDEX(Tenants!$C$6:$C$35,MATCH(B346,Tenants!$A$6:$A$35,0)),"")))</f>
        <v/>
      </c>
      <c r="E346" s="56"/>
      <c r="F346" s="56"/>
      <c r="G346" s="56"/>
      <c r="H346" s="50"/>
      <c r="I346" s="47"/>
      <c r="J346" s="47"/>
      <c r="K346" s="48" t="str">
        <f ca="1">IF(B346="","",IF(UPPER(J346)="Y","Vacant",IF(AND(G346&gt;0,G346&gt;=E346+F346),IF(AND(H346&lt;&gt;"",A346&lt;&gt;"",H346&gt;A346+Settings!$C$7),"Paid late","Paid"),IF(G346&gt;0,"Partial",IF(AND(A346&lt;&gt;"",TODAY()&gt;A346+Settings!$C$7),"Unpaid","Due")))))</f>
        <v/>
      </c>
      <c r="L346" s="52" t="str">
        <f t="shared" si="25"/>
        <v/>
      </c>
      <c r="M346" s="47"/>
      <c r="N346" s="48" t="str">
        <f t="shared" si="26"/>
        <v/>
      </c>
      <c r="O346" s="48" t="str">
        <f>IF(B346="","",COUNTIF($B$7:B346,B346))</f>
        <v/>
      </c>
      <c r="P346" s="48" t="str">
        <f t="shared" si="27"/>
        <v/>
      </c>
      <c r="Q346" s="48" t="str">
        <f t="shared" si="28"/>
        <v/>
      </c>
      <c r="R346" s="48" t="str">
        <f t="shared" si="29"/>
        <v/>
      </c>
    </row>
    <row r="347" spans="1:18" ht="16" x14ac:dyDescent="0.2">
      <c r="A347" s="50"/>
      <c r="B347" s="47"/>
      <c r="C347" s="48" t="str">
        <f>IF(B347="","",IFERROR(INDEX(Tenants!$B$6:$B$35,MATCH(B347,Tenants!$A$6:$A$35,0)),"Unit not found"))</f>
        <v/>
      </c>
      <c r="D347" s="48" t="str">
        <f>IF(B347="","",IF(J347="Y","(vacant)",IFERROR(INDEX(Tenants!$C$6:$C$35,MATCH(B347,Tenants!$A$6:$A$35,0)),"")))</f>
        <v/>
      </c>
      <c r="E347" s="56"/>
      <c r="F347" s="56"/>
      <c r="G347" s="56"/>
      <c r="H347" s="50"/>
      <c r="I347" s="47"/>
      <c r="J347" s="47"/>
      <c r="K347" s="48" t="str">
        <f ca="1">IF(B347="","",IF(UPPER(J347)="Y","Vacant",IF(AND(G347&gt;0,G347&gt;=E347+F347),IF(AND(H347&lt;&gt;"",A347&lt;&gt;"",H347&gt;A347+Settings!$C$7),"Paid late","Paid"),IF(G347&gt;0,"Partial",IF(AND(A347&lt;&gt;"",TODAY()&gt;A347+Settings!$C$7),"Unpaid","Due")))))</f>
        <v/>
      </c>
      <c r="L347" s="52" t="str">
        <f t="shared" si="25"/>
        <v/>
      </c>
      <c r="M347" s="47"/>
      <c r="N347" s="48" t="str">
        <f t="shared" si="26"/>
        <v/>
      </c>
      <c r="O347" s="48" t="str">
        <f>IF(B347="","",COUNTIF($B$7:B347,B347))</f>
        <v/>
      </c>
      <c r="P347" s="48" t="str">
        <f t="shared" si="27"/>
        <v/>
      </c>
      <c r="Q347" s="48" t="str">
        <f t="shared" si="28"/>
        <v/>
      </c>
      <c r="R347" s="48" t="str">
        <f t="shared" si="29"/>
        <v/>
      </c>
    </row>
    <row r="348" spans="1:18" ht="16" x14ac:dyDescent="0.2">
      <c r="A348" s="50"/>
      <c r="B348" s="47"/>
      <c r="C348" s="48" t="str">
        <f>IF(B348="","",IFERROR(INDEX(Tenants!$B$6:$B$35,MATCH(B348,Tenants!$A$6:$A$35,0)),"Unit not found"))</f>
        <v/>
      </c>
      <c r="D348" s="48" t="str">
        <f>IF(B348="","",IF(J348="Y","(vacant)",IFERROR(INDEX(Tenants!$C$6:$C$35,MATCH(B348,Tenants!$A$6:$A$35,0)),"")))</f>
        <v/>
      </c>
      <c r="E348" s="56"/>
      <c r="F348" s="56"/>
      <c r="G348" s="56"/>
      <c r="H348" s="50"/>
      <c r="I348" s="47"/>
      <c r="J348" s="47"/>
      <c r="K348" s="48" t="str">
        <f ca="1">IF(B348="","",IF(UPPER(J348)="Y","Vacant",IF(AND(G348&gt;0,G348&gt;=E348+F348),IF(AND(H348&lt;&gt;"",A348&lt;&gt;"",H348&gt;A348+Settings!$C$7),"Paid late","Paid"),IF(G348&gt;0,"Partial",IF(AND(A348&lt;&gt;"",TODAY()&gt;A348+Settings!$C$7),"Unpaid","Due")))))</f>
        <v/>
      </c>
      <c r="L348" s="52" t="str">
        <f t="shared" si="25"/>
        <v/>
      </c>
      <c r="M348" s="47"/>
      <c r="N348" s="48" t="str">
        <f t="shared" si="26"/>
        <v/>
      </c>
      <c r="O348" s="48" t="str">
        <f>IF(B348="","",COUNTIF($B$7:B348,B348))</f>
        <v/>
      </c>
      <c r="P348" s="48" t="str">
        <f t="shared" si="27"/>
        <v/>
      </c>
      <c r="Q348" s="48" t="str">
        <f t="shared" si="28"/>
        <v/>
      </c>
      <c r="R348" s="48" t="str">
        <f t="shared" si="29"/>
        <v/>
      </c>
    </row>
    <row r="349" spans="1:18" ht="16" x14ac:dyDescent="0.2">
      <c r="A349" s="50"/>
      <c r="B349" s="47"/>
      <c r="C349" s="48" t="str">
        <f>IF(B349="","",IFERROR(INDEX(Tenants!$B$6:$B$35,MATCH(B349,Tenants!$A$6:$A$35,0)),"Unit not found"))</f>
        <v/>
      </c>
      <c r="D349" s="48" t="str">
        <f>IF(B349="","",IF(J349="Y","(vacant)",IFERROR(INDEX(Tenants!$C$6:$C$35,MATCH(B349,Tenants!$A$6:$A$35,0)),"")))</f>
        <v/>
      </c>
      <c r="E349" s="56"/>
      <c r="F349" s="56"/>
      <c r="G349" s="56"/>
      <c r="H349" s="50"/>
      <c r="I349" s="47"/>
      <c r="J349" s="47"/>
      <c r="K349" s="48" t="str">
        <f ca="1">IF(B349="","",IF(UPPER(J349)="Y","Vacant",IF(AND(G349&gt;0,G349&gt;=E349+F349),IF(AND(H349&lt;&gt;"",A349&lt;&gt;"",H349&gt;A349+Settings!$C$7),"Paid late","Paid"),IF(G349&gt;0,"Partial",IF(AND(A349&lt;&gt;"",TODAY()&gt;A349+Settings!$C$7),"Unpaid","Due")))))</f>
        <v/>
      </c>
      <c r="L349" s="52" t="str">
        <f t="shared" si="25"/>
        <v/>
      </c>
      <c r="M349" s="47"/>
      <c r="N349" s="48" t="str">
        <f t="shared" si="26"/>
        <v/>
      </c>
      <c r="O349" s="48" t="str">
        <f>IF(B349="","",COUNTIF($B$7:B349,B349))</f>
        <v/>
      </c>
      <c r="P349" s="48" t="str">
        <f t="shared" si="27"/>
        <v/>
      </c>
      <c r="Q349" s="48" t="str">
        <f t="shared" si="28"/>
        <v/>
      </c>
      <c r="R349" s="48" t="str">
        <f t="shared" si="29"/>
        <v/>
      </c>
    </row>
    <row r="350" spans="1:18" ht="16" x14ac:dyDescent="0.2">
      <c r="A350" s="50"/>
      <c r="B350" s="47"/>
      <c r="C350" s="48" t="str">
        <f>IF(B350="","",IFERROR(INDEX(Tenants!$B$6:$B$35,MATCH(B350,Tenants!$A$6:$A$35,0)),"Unit not found"))</f>
        <v/>
      </c>
      <c r="D350" s="48" t="str">
        <f>IF(B350="","",IF(J350="Y","(vacant)",IFERROR(INDEX(Tenants!$C$6:$C$35,MATCH(B350,Tenants!$A$6:$A$35,0)),"")))</f>
        <v/>
      </c>
      <c r="E350" s="56"/>
      <c r="F350" s="56"/>
      <c r="G350" s="56"/>
      <c r="H350" s="50"/>
      <c r="I350" s="47"/>
      <c r="J350" s="47"/>
      <c r="K350" s="48" t="str">
        <f ca="1">IF(B350="","",IF(UPPER(J350)="Y","Vacant",IF(AND(G350&gt;0,G350&gt;=E350+F350),IF(AND(H350&lt;&gt;"",A350&lt;&gt;"",H350&gt;A350+Settings!$C$7),"Paid late","Paid"),IF(G350&gt;0,"Partial",IF(AND(A350&lt;&gt;"",TODAY()&gt;A350+Settings!$C$7),"Unpaid","Due")))))</f>
        <v/>
      </c>
      <c r="L350" s="52" t="str">
        <f t="shared" si="25"/>
        <v/>
      </c>
      <c r="M350" s="47"/>
      <c r="N350" s="48" t="str">
        <f t="shared" si="26"/>
        <v/>
      </c>
      <c r="O350" s="48" t="str">
        <f>IF(B350="","",COUNTIF($B$7:B350,B350))</f>
        <v/>
      </c>
      <c r="P350" s="48" t="str">
        <f t="shared" si="27"/>
        <v/>
      </c>
      <c r="Q350" s="48" t="str">
        <f t="shared" si="28"/>
        <v/>
      </c>
      <c r="R350" s="48" t="str">
        <f t="shared" si="29"/>
        <v/>
      </c>
    </row>
    <row r="351" spans="1:18" ht="16" x14ac:dyDescent="0.2">
      <c r="A351" s="50"/>
      <c r="B351" s="47"/>
      <c r="C351" s="48" t="str">
        <f>IF(B351="","",IFERROR(INDEX(Tenants!$B$6:$B$35,MATCH(B351,Tenants!$A$6:$A$35,0)),"Unit not found"))</f>
        <v/>
      </c>
      <c r="D351" s="48" t="str">
        <f>IF(B351="","",IF(J351="Y","(vacant)",IFERROR(INDEX(Tenants!$C$6:$C$35,MATCH(B351,Tenants!$A$6:$A$35,0)),"")))</f>
        <v/>
      </c>
      <c r="E351" s="56"/>
      <c r="F351" s="56"/>
      <c r="G351" s="56"/>
      <c r="H351" s="50"/>
      <c r="I351" s="47"/>
      <c r="J351" s="47"/>
      <c r="K351" s="48" t="str">
        <f ca="1">IF(B351="","",IF(UPPER(J351)="Y","Vacant",IF(AND(G351&gt;0,G351&gt;=E351+F351),IF(AND(H351&lt;&gt;"",A351&lt;&gt;"",H351&gt;A351+Settings!$C$7),"Paid late","Paid"),IF(G351&gt;0,"Partial",IF(AND(A351&lt;&gt;"",TODAY()&gt;A351+Settings!$C$7),"Unpaid","Due")))))</f>
        <v/>
      </c>
      <c r="L351" s="52" t="str">
        <f t="shared" si="25"/>
        <v/>
      </c>
      <c r="M351" s="47"/>
      <c r="N351" s="48" t="str">
        <f t="shared" si="26"/>
        <v/>
      </c>
      <c r="O351" s="48" t="str">
        <f>IF(B351="","",COUNTIF($B$7:B351,B351))</f>
        <v/>
      </c>
      <c r="P351" s="48" t="str">
        <f t="shared" si="27"/>
        <v/>
      </c>
      <c r="Q351" s="48" t="str">
        <f t="shared" si="28"/>
        <v/>
      </c>
      <c r="R351" s="48" t="str">
        <f t="shared" si="29"/>
        <v/>
      </c>
    </row>
    <row r="352" spans="1:18" ht="16" x14ac:dyDescent="0.2">
      <c r="A352" s="50"/>
      <c r="B352" s="47"/>
      <c r="C352" s="48" t="str">
        <f>IF(B352="","",IFERROR(INDEX(Tenants!$B$6:$B$35,MATCH(B352,Tenants!$A$6:$A$35,0)),"Unit not found"))</f>
        <v/>
      </c>
      <c r="D352" s="48" t="str">
        <f>IF(B352="","",IF(J352="Y","(vacant)",IFERROR(INDEX(Tenants!$C$6:$C$35,MATCH(B352,Tenants!$A$6:$A$35,0)),"")))</f>
        <v/>
      </c>
      <c r="E352" s="56"/>
      <c r="F352" s="56"/>
      <c r="G352" s="56"/>
      <c r="H352" s="50"/>
      <c r="I352" s="47"/>
      <c r="J352" s="47"/>
      <c r="K352" s="48" t="str">
        <f ca="1">IF(B352="","",IF(UPPER(J352)="Y","Vacant",IF(AND(G352&gt;0,G352&gt;=E352+F352),IF(AND(H352&lt;&gt;"",A352&lt;&gt;"",H352&gt;A352+Settings!$C$7),"Paid late","Paid"),IF(G352&gt;0,"Partial",IF(AND(A352&lt;&gt;"",TODAY()&gt;A352+Settings!$C$7),"Unpaid","Due")))))</f>
        <v/>
      </c>
      <c r="L352" s="52" t="str">
        <f t="shared" si="25"/>
        <v/>
      </c>
      <c r="M352" s="47"/>
      <c r="N352" s="48" t="str">
        <f t="shared" si="26"/>
        <v/>
      </c>
      <c r="O352" s="48" t="str">
        <f>IF(B352="","",COUNTIF($B$7:B352,B352))</f>
        <v/>
      </c>
      <c r="P352" s="48" t="str">
        <f t="shared" si="27"/>
        <v/>
      </c>
      <c r="Q352" s="48" t="str">
        <f t="shared" si="28"/>
        <v/>
      </c>
      <c r="R352" s="48" t="str">
        <f t="shared" si="29"/>
        <v/>
      </c>
    </row>
    <row r="353" spans="1:18" ht="16" x14ac:dyDescent="0.2">
      <c r="A353" s="50"/>
      <c r="B353" s="47"/>
      <c r="C353" s="48" t="str">
        <f>IF(B353="","",IFERROR(INDEX(Tenants!$B$6:$B$35,MATCH(B353,Tenants!$A$6:$A$35,0)),"Unit not found"))</f>
        <v/>
      </c>
      <c r="D353" s="48" t="str">
        <f>IF(B353="","",IF(J353="Y","(vacant)",IFERROR(INDEX(Tenants!$C$6:$C$35,MATCH(B353,Tenants!$A$6:$A$35,0)),"")))</f>
        <v/>
      </c>
      <c r="E353" s="56"/>
      <c r="F353" s="56"/>
      <c r="G353" s="56"/>
      <c r="H353" s="50"/>
      <c r="I353" s="47"/>
      <c r="J353" s="47"/>
      <c r="K353" s="48" t="str">
        <f ca="1">IF(B353="","",IF(UPPER(J353)="Y","Vacant",IF(AND(G353&gt;0,G353&gt;=E353+F353),IF(AND(H353&lt;&gt;"",A353&lt;&gt;"",H353&gt;A353+Settings!$C$7),"Paid late","Paid"),IF(G353&gt;0,"Partial",IF(AND(A353&lt;&gt;"",TODAY()&gt;A353+Settings!$C$7),"Unpaid","Due")))))</f>
        <v/>
      </c>
      <c r="L353" s="52" t="str">
        <f t="shared" si="25"/>
        <v/>
      </c>
      <c r="M353" s="47"/>
      <c r="N353" s="48" t="str">
        <f t="shared" si="26"/>
        <v/>
      </c>
      <c r="O353" s="48" t="str">
        <f>IF(B353="","",COUNTIF($B$7:B353,B353))</f>
        <v/>
      </c>
      <c r="P353" s="48" t="str">
        <f t="shared" si="27"/>
        <v/>
      </c>
      <c r="Q353" s="48" t="str">
        <f t="shared" si="28"/>
        <v/>
      </c>
      <c r="R353" s="48" t="str">
        <f t="shared" si="29"/>
        <v/>
      </c>
    </row>
    <row r="354" spans="1:18" ht="16" x14ac:dyDescent="0.2">
      <c r="A354" s="50"/>
      <c r="B354" s="47"/>
      <c r="C354" s="48" t="str">
        <f>IF(B354="","",IFERROR(INDEX(Tenants!$B$6:$B$35,MATCH(B354,Tenants!$A$6:$A$35,0)),"Unit not found"))</f>
        <v/>
      </c>
      <c r="D354" s="48" t="str">
        <f>IF(B354="","",IF(J354="Y","(vacant)",IFERROR(INDEX(Tenants!$C$6:$C$35,MATCH(B354,Tenants!$A$6:$A$35,0)),"")))</f>
        <v/>
      </c>
      <c r="E354" s="56"/>
      <c r="F354" s="56"/>
      <c r="G354" s="56"/>
      <c r="H354" s="50"/>
      <c r="I354" s="47"/>
      <c r="J354" s="47"/>
      <c r="K354" s="48" t="str">
        <f ca="1">IF(B354="","",IF(UPPER(J354)="Y","Vacant",IF(AND(G354&gt;0,G354&gt;=E354+F354),IF(AND(H354&lt;&gt;"",A354&lt;&gt;"",H354&gt;A354+Settings!$C$7),"Paid late","Paid"),IF(G354&gt;0,"Partial",IF(AND(A354&lt;&gt;"",TODAY()&gt;A354+Settings!$C$7),"Unpaid","Due")))))</f>
        <v/>
      </c>
      <c r="L354" s="52" t="str">
        <f t="shared" si="25"/>
        <v/>
      </c>
      <c r="M354" s="47"/>
      <c r="N354" s="48" t="str">
        <f t="shared" si="26"/>
        <v/>
      </c>
      <c r="O354" s="48" t="str">
        <f>IF(B354="","",COUNTIF($B$7:B354,B354))</f>
        <v/>
      </c>
      <c r="P354" s="48" t="str">
        <f t="shared" si="27"/>
        <v/>
      </c>
      <c r="Q354" s="48" t="str">
        <f t="shared" si="28"/>
        <v/>
      </c>
      <c r="R354" s="48" t="str">
        <f t="shared" si="29"/>
        <v/>
      </c>
    </row>
    <row r="355" spans="1:18" ht="16" x14ac:dyDescent="0.2">
      <c r="A355" s="50"/>
      <c r="B355" s="47"/>
      <c r="C355" s="48" t="str">
        <f>IF(B355="","",IFERROR(INDEX(Tenants!$B$6:$B$35,MATCH(B355,Tenants!$A$6:$A$35,0)),"Unit not found"))</f>
        <v/>
      </c>
      <c r="D355" s="48" t="str">
        <f>IF(B355="","",IF(J355="Y","(vacant)",IFERROR(INDEX(Tenants!$C$6:$C$35,MATCH(B355,Tenants!$A$6:$A$35,0)),"")))</f>
        <v/>
      </c>
      <c r="E355" s="56"/>
      <c r="F355" s="56"/>
      <c r="G355" s="56"/>
      <c r="H355" s="50"/>
      <c r="I355" s="47"/>
      <c r="J355" s="47"/>
      <c r="K355" s="48" t="str">
        <f ca="1">IF(B355="","",IF(UPPER(J355)="Y","Vacant",IF(AND(G355&gt;0,G355&gt;=E355+F355),IF(AND(H355&lt;&gt;"",A355&lt;&gt;"",H355&gt;A355+Settings!$C$7),"Paid late","Paid"),IF(G355&gt;0,"Partial",IF(AND(A355&lt;&gt;"",TODAY()&gt;A355+Settings!$C$7),"Unpaid","Due")))))</f>
        <v/>
      </c>
      <c r="L355" s="52" t="str">
        <f t="shared" si="25"/>
        <v/>
      </c>
      <c r="M355" s="47"/>
      <c r="N355" s="48" t="str">
        <f t="shared" si="26"/>
        <v/>
      </c>
      <c r="O355" s="48" t="str">
        <f>IF(B355="","",COUNTIF($B$7:B355,B355))</f>
        <v/>
      </c>
      <c r="P355" s="48" t="str">
        <f t="shared" si="27"/>
        <v/>
      </c>
      <c r="Q355" s="48" t="str">
        <f t="shared" si="28"/>
        <v/>
      </c>
      <c r="R355" s="48" t="str">
        <f t="shared" si="29"/>
        <v/>
      </c>
    </row>
    <row r="356" spans="1:18" ht="16" x14ac:dyDescent="0.2">
      <c r="A356" s="50"/>
      <c r="B356" s="47"/>
      <c r="C356" s="48" t="str">
        <f>IF(B356="","",IFERROR(INDEX(Tenants!$B$6:$B$35,MATCH(B356,Tenants!$A$6:$A$35,0)),"Unit not found"))</f>
        <v/>
      </c>
      <c r="D356" s="48" t="str">
        <f>IF(B356="","",IF(J356="Y","(vacant)",IFERROR(INDEX(Tenants!$C$6:$C$35,MATCH(B356,Tenants!$A$6:$A$35,0)),"")))</f>
        <v/>
      </c>
      <c r="E356" s="56"/>
      <c r="F356" s="56"/>
      <c r="G356" s="56"/>
      <c r="H356" s="50"/>
      <c r="I356" s="47"/>
      <c r="J356" s="47"/>
      <c r="K356" s="48" t="str">
        <f ca="1">IF(B356="","",IF(UPPER(J356)="Y","Vacant",IF(AND(G356&gt;0,G356&gt;=E356+F356),IF(AND(H356&lt;&gt;"",A356&lt;&gt;"",H356&gt;A356+Settings!$C$7),"Paid late","Paid"),IF(G356&gt;0,"Partial",IF(AND(A356&lt;&gt;"",TODAY()&gt;A356+Settings!$C$7),"Unpaid","Due")))))</f>
        <v/>
      </c>
      <c r="L356" s="52" t="str">
        <f t="shared" si="25"/>
        <v/>
      </c>
      <c r="M356" s="47"/>
      <c r="N356" s="48" t="str">
        <f t="shared" si="26"/>
        <v/>
      </c>
      <c r="O356" s="48" t="str">
        <f>IF(B356="","",COUNTIF($B$7:B356,B356))</f>
        <v/>
      </c>
      <c r="P356" s="48" t="str">
        <f t="shared" si="27"/>
        <v/>
      </c>
      <c r="Q356" s="48" t="str">
        <f t="shared" si="28"/>
        <v/>
      </c>
      <c r="R356" s="48" t="str">
        <f t="shared" si="29"/>
        <v/>
      </c>
    </row>
    <row r="357" spans="1:18" ht="16" x14ac:dyDescent="0.2">
      <c r="A357" s="50"/>
      <c r="B357" s="47"/>
      <c r="C357" s="48" t="str">
        <f>IF(B357="","",IFERROR(INDEX(Tenants!$B$6:$B$35,MATCH(B357,Tenants!$A$6:$A$35,0)),"Unit not found"))</f>
        <v/>
      </c>
      <c r="D357" s="48" t="str">
        <f>IF(B357="","",IF(J357="Y","(vacant)",IFERROR(INDEX(Tenants!$C$6:$C$35,MATCH(B357,Tenants!$A$6:$A$35,0)),"")))</f>
        <v/>
      </c>
      <c r="E357" s="56"/>
      <c r="F357" s="56"/>
      <c r="G357" s="56"/>
      <c r="H357" s="50"/>
      <c r="I357" s="47"/>
      <c r="J357" s="47"/>
      <c r="K357" s="48" t="str">
        <f ca="1">IF(B357="","",IF(UPPER(J357)="Y","Vacant",IF(AND(G357&gt;0,G357&gt;=E357+F357),IF(AND(H357&lt;&gt;"",A357&lt;&gt;"",H357&gt;A357+Settings!$C$7),"Paid late","Paid"),IF(G357&gt;0,"Partial",IF(AND(A357&lt;&gt;"",TODAY()&gt;A357+Settings!$C$7),"Unpaid","Due")))))</f>
        <v/>
      </c>
      <c r="L357" s="52" t="str">
        <f t="shared" si="25"/>
        <v/>
      </c>
      <c r="M357" s="47"/>
      <c r="N357" s="48" t="str">
        <f t="shared" si="26"/>
        <v/>
      </c>
      <c r="O357" s="48" t="str">
        <f>IF(B357="","",COUNTIF($B$7:B357,B357))</f>
        <v/>
      </c>
      <c r="P357" s="48" t="str">
        <f t="shared" si="27"/>
        <v/>
      </c>
      <c r="Q357" s="48" t="str">
        <f t="shared" si="28"/>
        <v/>
      </c>
      <c r="R357" s="48" t="str">
        <f t="shared" si="29"/>
        <v/>
      </c>
    </row>
    <row r="358" spans="1:18" ht="16" x14ac:dyDescent="0.2">
      <c r="A358" s="50"/>
      <c r="B358" s="47"/>
      <c r="C358" s="48" t="str">
        <f>IF(B358="","",IFERROR(INDEX(Tenants!$B$6:$B$35,MATCH(B358,Tenants!$A$6:$A$35,0)),"Unit not found"))</f>
        <v/>
      </c>
      <c r="D358" s="48" t="str">
        <f>IF(B358="","",IF(J358="Y","(vacant)",IFERROR(INDEX(Tenants!$C$6:$C$35,MATCH(B358,Tenants!$A$6:$A$35,0)),"")))</f>
        <v/>
      </c>
      <c r="E358" s="56"/>
      <c r="F358" s="56"/>
      <c r="G358" s="56"/>
      <c r="H358" s="50"/>
      <c r="I358" s="47"/>
      <c r="J358" s="47"/>
      <c r="K358" s="48" t="str">
        <f ca="1">IF(B358="","",IF(UPPER(J358)="Y","Vacant",IF(AND(G358&gt;0,G358&gt;=E358+F358),IF(AND(H358&lt;&gt;"",A358&lt;&gt;"",H358&gt;A358+Settings!$C$7),"Paid late","Paid"),IF(G358&gt;0,"Partial",IF(AND(A358&lt;&gt;"",TODAY()&gt;A358+Settings!$C$7),"Unpaid","Due")))))</f>
        <v/>
      </c>
      <c r="L358" s="52" t="str">
        <f t="shared" si="25"/>
        <v/>
      </c>
      <c r="M358" s="47"/>
      <c r="N358" s="48" t="str">
        <f t="shared" si="26"/>
        <v/>
      </c>
      <c r="O358" s="48" t="str">
        <f>IF(B358="","",COUNTIF($B$7:B358,B358))</f>
        <v/>
      </c>
      <c r="P358" s="48" t="str">
        <f t="shared" si="27"/>
        <v/>
      </c>
      <c r="Q358" s="48" t="str">
        <f t="shared" si="28"/>
        <v/>
      </c>
      <c r="R358" s="48" t="str">
        <f t="shared" si="29"/>
        <v/>
      </c>
    </row>
    <row r="359" spans="1:18" ht="16" x14ac:dyDescent="0.2">
      <c r="A359" s="50"/>
      <c r="B359" s="47"/>
      <c r="C359" s="48" t="str">
        <f>IF(B359="","",IFERROR(INDEX(Tenants!$B$6:$B$35,MATCH(B359,Tenants!$A$6:$A$35,0)),"Unit not found"))</f>
        <v/>
      </c>
      <c r="D359" s="48" t="str">
        <f>IF(B359="","",IF(J359="Y","(vacant)",IFERROR(INDEX(Tenants!$C$6:$C$35,MATCH(B359,Tenants!$A$6:$A$35,0)),"")))</f>
        <v/>
      </c>
      <c r="E359" s="56"/>
      <c r="F359" s="56"/>
      <c r="G359" s="56"/>
      <c r="H359" s="50"/>
      <c r="I359" s="47"/>
      <c r="J359" s="47"/>
      <c r="K359" s="48" t="str">
        <f ca="1">IF(B359="","",IF(UPPER(J359)="Y","Vacant",IF(AND(G359&gt;0,G359&gt;=E359+F359),IF(AND(H359&lt;&gt;"",A359&lt;&gt;"",H359&gt;A359+Settings!$C$7),"Paid late","Paid"),IF(G359&gt;0,"Partial",IF(AND(A359&lt;&gt;"",TODAY()&gt;A359+Settings!$C$7),"Unpaid","Due")))))</f>
        <v/>
      </c>
      <c r="L359" s="52" t="str">
        <f t="shared" si="25"/>
        <v/>
      </c>
      <c r="M359" s="47"/>
      <c r="N359" s="48" t="str">
        <f t="shared" si="26"/>
        <v/>
      </c>
      <c r="O359" s="48" t="str">
        <f>IF(B359="","",COUNTIF($B$7:B359,B359))</f>
        <v/>
      </c>
      <c r="P359" s="48" t="str">
        <f t="shared" si="27"/>
        <v/>
      </c>
      <c r="Q359" s="48" t="str">
        <f t="shared" si="28"/>
        <v/>
      </c>
      <c r="R359" s="48" t="str">
        <f t="shared" si="29"/>
        <v/>
      </c>
    </row>
    <row r="360" spans="1:18" ht="16" x14ac:dyDescent="0.2">
      <c r="A360" s="50"/>
      <c r="B360" s="47"/>
      <c r="C360" s="48" t="str">
        <f>IF(B360="","",IFERROR(INDEX(Tenants!$B$6:$B$35,MATCH(B360,Tenants!$A$6:$A$35,0)),"Unit not found"))</f>
        <v/>
      </c>
      <c r="D360" s="48" t="str">
        <f>IF(B360="","",IF(J360="Y","(vacant)",IFERROR(INDEX(Tenants!$C$6:$C$35,MATCH(B360,Tenants!$A$6:$A$35,0)),"")))</f>
        <v/>
      </c>
      <c r="E360" s="56"/>
      <c r="F360" s="56"/>
      <c r="G360" s="56"/>
      <c r="H360" s="50"/>
      <c r="I360" s="47"/>
      <c r="J360" s="47"/>
      <c r="K360" s="48" t="str">
        <f ca="1">IF(B360="","",IF(UPPER(J360)="Y","Vacant",IF(AND(G360&gt;0,G360&gt;=E360+F360),IF(AND(H360&lt;&gt;"",A360&lt;&gt;"",H360&gt;A360+Settings!$C$7),"Paid late","Paid"),IF(G360&gt;0,"Partial",IF(AND(A360&lt;&gt;"",TODAY()&gt;A360+Settings!$C$7),"Unpaid","Due")))))</f>
        <v/>
      </c>
      <c r="L360" s="52" t="str">
        <f t="shared" si="25"/>
        <v/>
      </c>
      <c r="M360" s="47"/>
      <c r="N360" s="48" t="str">
        <f t="shared" si="26"/>
        <v/>
      </c>
      <c r="O360" s="48" t="str">
        <f>IF(B360="","",COUNTIF($B$7:B360,B360))</f>
        <v/>
      </c>
      <c r="P360" s="48" t="str">
        <f t="shared" si="27"/>
        <v/>
      </c>
      <c r="Q360" s="48" t="str">
        <f t="shared" si="28"/>
        <v/>
      </c>
      <c r="R360" s="48" t="str">
        <f t="shared" si="29"/>
        <v/>
      </c>
    </row>
    <row r="361" spans="1:18" ht="16" x14ac:dyDescent="0.2">
      <c r="A361" s="50"/>
      <c r="B361" s="47"/>
      <c r="C361" s="48" t="str">
        <f>IF(B361="","",IFERROR(INDEX(Tenants!$B$6:$B$35,MATCH(B361,Tenants!$A$6:$A$35,0)),"Unit not found"))</f>
        <v/>
      </c>
      <c r="D361" s="48" t="str">
        <f>IF(B361="","",IF(J361="Y","(vacant)",IFERROR(INDEX(Tenants!$C$6:$C$35,MATCH(B361,Tenants!$A$6:$A$35,0)),"")))</f>
        <v/>
      </c>
      <c r="E361" s="56"/>
      <c r="F361" s="56"/>
      <c r="G361" s="56"/>
      <c r="H361" s="50"/>
      <c r="I361" s="47"/>
      <c r="J361" s="47"/>
      <c r="K361" s="48" t="str">
        <f ca="1">IF(B361="","",IF(UPPER(J361)="Y","Vacant",IF(AND(G361&gt;0,G361&gt;=E361+F361),IF(AND(H361&lt;&gt;"",A361&lt;&gt;"",H361&gt;A361+Settings!$C$7),"Paid late","Paid"),IF(G361&gt;0,"Partial",IF(AND(A361&lt;&gt;"",TODAY()&gt;A361+Settings!$C$7),"Unpaid","Due")))))</f>
        <v/>
      </c>
      <c r="L361" s="52" t="str">
        <f t="shared" si="25"/>
        <v/>
      </c>
      <c r="M361" s="47"/>
      <c r="N361" s="48" t="str">
        <f t="shared" si="26"/>
        <v/>
      </c>
      <c r="O361" s="48" t="str">
        <f>IF(B361="","",COUNTIF($B$7:B361,B361))</f>
        <v/>
      </c>
      <c r="P361" s="48" t="str">
        <f t="shared" si="27"/>
        <v/>
      </c>
      <c r="Q361" s="48" t="str">
        <f t="shared" si="28"/>
        <v/>
      </c>
      <c r="R361" s="48" t="str">
        <f t="shared" si="29"/>
        <v/>
      </c>
    </row>
    <row r="362" spans="1:18" ht="16" x14ac:dyDescent="0.2">
      <c r="A362" s="50"/>
      <c r="B362" s="47"/>
      <c r="C362" s="48" t="str">
        <f>IF(B362="","",IFERROR(INDEX(Tenants!$B$6:$B$35,MATCH(B362,Tenants!$A$6:$A$35,0)),"Unit not found"))</f>
        <v/>
      </c>
      <c r="D362" s="48" t="str">
        <f>IF(B362="","",IF(J362="Y","(vacant)",IFERROR(INDEX(Tenants!$C$6:$C$35,MATCH(B362,Tenants!$A$6:$A$35,0)),"")))</f>
        <v/>
      </c>
      <c r="E362" s="56"/>
      <c r="F362" s="56"/>
      <c r="G362" s="56"/>
      <c r="H362" s="50"/>
      <c r="I362" s="47"/>
      <c r="J362" s="47"/>
      <c r="K362" s="48" t="str">
        <f ca="1">IF(B362="","",IF(UPPER(J362)="Y","Vacant",IF(AND(G362&gt;0,G362&gt;=E362+F362),IF(AND(H362&lt;&gt;"",A362&lt;&gt;"",H362&gt;A362+Settings!$C$7),"Paid late","Paid"),IF(G362&gt;0,"Partial",IF(AND(A362&lt;&gt;"",TODAY()&gt;A362+Settings!$C$7),"Unpaid","Due")))))</f>
        <v/>
      </c>
      <c r="L362" s="52" t="str">
        <f t="shared" si="25"/>
        <v/>
      </c>
      <c r="M362" s="47"/>
      <c r="N362" s="48" t="str">
        <f t="shared" si="26"/>
        <v/>
      </c>
      <c r="O362" s="48" t="str">
        <f>IF(B362="","",COUNTIF($B$7:B362,B362))</f>
        <v/>
      </c>
      <c r="P362" s="48" t="str">
        <f t="shared" si="27"/>
        <v/>
      </c>
      <c r="Q362" s="48" t="str">
        <f t="shared" si="28"/>
        <v/>
      </c>
      <c r="R362" s="48" t="str">
        <f t="shared" si="29"/>
        <v/>
      </c>
    </row>
    <row r="363" spans="1:18" ht="16" x14ac:dyDescent="0.2">
      <c r="A363" s="50"/>
      <c r="B363" s="47"/>
      <c r="C363" s="48" t="str">
        <f>IF(B363="","",IFERROR(INDEX(Tenants!$B$6:$B$35,MATCH(B363,Tenants!$A$6:$A$35,0)),"Unit not found"))</f>
        <v/>
      </c>
      <c r="D363" s="48" t="str">
        <f>IF(B363="","",IF(J363="Y","(vacant)",IFERROR(INDEX(Tenants!$C$6:$C$35,MATCH(B363,Tenants!$A$6:$A$35,0)),"")))</f>
        <v/>
      </c>
      <c r="E363" s="56"/>
      <c r="F363" s="56"/>
      <c r="G363" s="56"/>
      <c r="H363" s="50"/>
      <c r="I363" s="47"/>
      <c r="J363" s="47"/>
      <c r="K363" s="48" t="str">
        <f ca="1">IF(B363="","",IF(UPPER(J363)="Y","Vacant",IF(AND(G363&gt;0,G363&gt;=E363+F363),IF(AND(H363&lt;&gt;"",A363&lt;&gt;"",H363&gt;A363+Settings!$C$7),"Paid late","Paid"),IF(G363&gt;0,"Partial",IF(AND(A363&lt;&gt;"",TODAY()&gt;A363+Settings!$C$7),"Unpaid","Due")))))</f>
        <v/>
      </c>
      <c r="L363" s="52" t="str">
        <f t="shared" si="25"/>
        <v/>
      </c>
      <c r="M363" s="47"/>
      <c r="N363" s="48" t="str">
        <f t="shared" si="26"/>
        <v/>
      </c>
      <c r="O363" s="48" t="str">
        <f>IF(B363="","",COUNTIF($B$7:B363,B363))</f>
        <v/>
      </c>
      <c r="P363" s="48" t="str">
        <f t="shared" si="27"/>
        <v/>
      </c>
      <c r="Q363" s="48" t="str">
        <f t="shared" si="28"/>
        <v/>
      </c>
      <c r="R363" s="48" t="str">
        <f t="shared" si="29"/>
        <v/>
      </c>
    </row>
    <row r="364" spans="1:18" ht="16" x14ac:dyDescent="0.2">
      <c r="A364" s="50"/>
      <c r="B364" s="47"/>
      <c r="C364" s="48" t="str">
        <f>IF(B364="","",IFERROR(INDEX(Tenants!$B$6:$B$35,MATCH(B364,Tenants!$A$6:$A$35,0)),"Unit not found"))</f>
        <v/>
      </c>
      <c r="D364" s="48" t="str">
        <f>IF(B364="","",IF(J364="Y","(vacant)",IFERROR(INDEX(Tenants!$C$6:$C$35,MATCH(B364,Tenants!$A$6:$A$35,0)),"")))</f>
        <v/>
      </c>
      <c r="E364" s="56"/>
      <c r="F364" s="56"/>
      <c r="G364" s="56"/>
      <c r="H364" s="50"/>
      <c r="I364" s="47"/>
      <c r="J364" s="47"/>
      <c r="K364" s="48" t="str">
        <f ca="1">IF(B364="","",IF(UPPER(J364)="Y","Vacant",IF(AND(G364&gt;0,G364&gt;=E364+F364),IF(AND(H364&lt;&gt;"",A364&lt;&gt;"",H364&gt;A364+Settings!$C$7),"Paid late","Paid"),IF(G364&gt;0,"Partial",IF(AND(A364&lt;&gt;"",TODAY()&gt;A364+Settings!$C$7),"Unpaid","Due")))))</f>
        <v/>
      </c>
      <c r="L364" s="52" t="str">
        <f t="shared" si="25"/>
        <v/>
      </c>
      <c r="M364" s="47"/>
      <c r="N364" s="48" t="str">
        <f t="shared" si="26"/>
        <v/>
      </c>
      <c r="O364" s="48" t="str">
        <f>IF(B364="","",COUNTIF($B$7:B364,B364))</f>
        <v/>
      </c>
      <c r="P364" s="48" t="str">
        <f t="shared" si="27"/>
        <v/>
      </c>
      <c r="Q364" s="48" t="str">
        <f t="shared" si="28"/>
        <v/>
      </c>
      <c r="R364" s="48" t="str">
        <f t="shared" si="29"/>
        <v/>
      </c>
    </row>
    <row r="365" spans="1:18" ht="16" x14ac:dyDescent="0.2">
      <c r="A365" s="50"/>
      <c r="B365" s="47"/>
      <c r="C365" s="48" t="str">
        <f>IF(B365="","",IFERROR(INDEX(Tenants!$B$6:$B$35,MATCH(B365,Tenants!$A$6:$A$35,0)),"Unit not found"))</f>
        <v/>
      </c>
      <c r="D365" s="48" t="str">
        <f>IF(B365="","",IF(J365="Y","(vacant)",IFERROR(INDEX(Tenants!$C$6:$C$35,MATCH(B365,Tenants!$A$6:$A$35,0)),"")))</f>
        <v/>
      </c>
      <c r="E365" s="56"/>
      <c r="F365" s="56"/>
      <c r="G365" s="56"/>
      <c r="H365" s="50"/>
      <c r="I365" s="47"/>
      <c r="J365" s="47"/>
      <c r="K365" s="48" t="str">
        <f ca="1">IF(B365="","",IF(UPPER(J365)="Y","Vacant",IF(AND(G365&gt;0,G365&gt;=E365+F365),IF(AND(H365&lt;&gt;"",A365&lt;&gt;"",H365&gt;A365+Settings!$C$7),"Paid late","Paid"),IF(G365&gt;0,"Partial",IF(AND(A365&lt;&gt;"",TODAY()&gt;A365+Settings!$C$7),"Unpaid","Due")))))</f>
        <v/>
      </c>
      <c r="L365" s="52" t="str">
        <f t="shared" si="25"/>
        <v/>
      </c>
      <c r="M365" s="47"/>
      <c r="N365" s="48" t="str">
        <f t="shared" si="26"/>
        <v/>
      </c>
      <c r="O365" s="48" t="str">
        <f>IF(B365="","",COUNTIF($B$7:B365,B365))</f>
        <v/>
      </c>
      <c r="P365" s="48" t="str">
        <f t="shared" si="27"/>
        <v/>
      </c>
      <c r="Q365" s="48" t="str">
        <f t="shared" si="28"/>
        <v/>
      </c>
      <c r="R365" s="48" t="str">
        <f t="shared" si="29"/>
        <v/>
      </c>
    </row>
    <row r="366" spans="1:18" ht="16" x14ac:dyDescent="0.2">
      <c r="A366" s="50"/>
      <c r="B366" s="47"/>
      <c r="C366" s="48" t="str">
        <f>IF(B366="","",IFERROR(INDEX(Tenants!$B$6:$B$35,MATCH(B366,Tenants!$A$6:$A$35,0)),"Unit not found"))</f>
        <v/>
      </c>
      <c r="D366" s="48" t="str">
        <f>IF(B366="","",IF(J366="Y","(vacant)",IFERROR(INDEX(Tenants!$C$6:$C$35,MATCH(B366,Tenants!$A$6:$A$35,0)),"")))</f>
        <v/>
      </c>
      <c r="E366" s="56"/>
      <c r="F366" s="56"/>
      <c r="G366" s="56"/>
      <c r="H366" s="50"/>
      <c r="I366" s="47"/>
      <c r="J366" s="47"/>
      <c r="K366" s="48" t="str">
        <f ca="1">IF(B366="","",IF(UPPER(J366)="Y","Vacant",IF(AND(G366&gt;0,G366&gt;=E366+F366),IF(AND(H366&lt;&gt;"",A366&lt;&gt;"",H366&gt;A366+Settings!$C$7),"Paid late","Paid"),IF(G366&gt;0,"Partial",IF(AND(A366&lt;&gt;"",TODAY()&gt;A366+Settings!$C$7),"Unpaid","Due")))))</f>
        <v/>
      </c>
      <c r="L366" s="52" t="str">
        <f t="shared" si="25"/>
        <v/>
      </c>
      <c r="M366" s="47"/>
      <c r="N366" s="48" t="str">
        <f t="shared" si="26"/>
        <v/>
      </c>
      <c r="O366" s="48" t="str">
        <f>IF(B366="","",COUNTIF($B$7:B366,B366))</f>
        <v/>
      </c>
      <c r="P366" s="48" t="str">
        <f t="shared" si="27"/>
        <v/>
      </c>
      <c r="Q366" s="48" t="str">
        <f t="shared" si="28"/>
        <v/>
      </c>
      <c r="R366" s="48" t="str">
        <f t="shared" si="29"/>
        <v/>
      </c>
    </row>
    <row r="367" spans="1:18" ht="16" x14ac:dyDescent="0.2">
      <c r="A367" s="50"/>
      <c r="B367" s="47"/>
      <c r="C367" s="48" t="str">
        <f>IF(B367="","",IFERROR(INDEX(Tenants!$B$6:$B$35,MATCH(B367,Tenants!$A$6:$A$35,0)),"Unit not found"))</f>
        <v/>
      </c>
      <c r="D367" s="48" t="str">
        <f>IF(B367="","",IF(J367="Y","(vacant)",IFERROR(INDEX(Tenants!$C$6:$C$35,MATCH(B367,Tenants!$A$6:$A$35,0)),"")))</f>
        <v/>
      </c>
      <c r="E367" s="56"/>
      <c r="F367" s="56"/>
      <c r="G367" s="56"/>
      <c r="H367" s="50"/>
      <c r="I367" s="47"/>
      <c r="J367" s="47"/>
      <c r="K367" s="48" t="str">
        <f ca="1">IF(B367="","",IF(UPPER(J367)="Y","Vacant",IF(AND(G367&gt;0,G367&gt;=E367+F367),IF(AND(H367&lt;&gt;"",A367&lt;&gt;"",H367&gt;A367+Settings!$C$7),"Paid late","Paid"),IF(G367&gt;0,"Partial",IF(AND(A367&lt;&gt;"",TODAY()&gt;A367+Settings!$C$7),"Unpaid","Due")))))</f>
        <v/>
      </c>
      <c r="L367" s="52" t="str">
        <f t="shared" si="25"/>
        <v/>
      </c>
      <c r="M367" s="47"/>
      <c r="N367" s="48" t="str">
        <f t="shared" si="26"/>
        <v/>
      </c>
      <c r="O367" s="48" t="str">
        <f>IF(B367="","",COUNTIF($B$7:B367,B367))</f>
        <v/>
      </c>
      <c r="P367" s="48" t="str">
        <f t="shared" si="27"/>
        <v/>
      </c>
      <c r="Q367" s="48" t="str">
        <f t="shared" si="28"/>
        <v/>
      </c>
      <c r="R367" s="48" t="str">
        <f t="shared" si="29"/>
        <v/>
      </c>
    </row>
    <row r="368" spans="1:18" ht="16" x14ac:dyDescent="0.2">
      <c r="A368" s="50"/>
      <c r="B368" s="47"/>
      <c r="C368" s="48" t="str">
        <f>IF(B368="","",IFERROR(INDEX(Tenants!$B$6:$B$35,MATCH(B368,Tenants!$A$6:$A$35,0)),"Unit not found"))</f>
        <v/>
      </c>
      <c r="D368" s="48" t="str">
        <f>IF(B368="","",IF(J368="Y","(vacant)",IFERROR(INDEX(Tenants!$C$6:$C$35,MATCH(B368,Tenants!$A$6:$A$35,0)),"")))</f>
        <v/>
      </c>
      <c r="E368" s="56"/>
      <c r="F368" s="56"/>
      <c r="G368" s="56"/>
      <c r="H368" s="50"/>
      <c r="I368" s="47"/>
      <c r="J368" s="47"/>
      <c r="K368" s="48" t="str">
        <f ca="1">IF(B368="","",IF(UPPER(J368)="Y","Vacant",IF(AND(G368&gt;0,G368&gt;=E368+F368),IF(AND(H368&lt;&gt;"",A368&lt;&gt;"",H368&gt;A368+Settings!$C$7),"Paid late","Paid"),IF(G368&gt;0,"Partial",IF(AND(A368&lt;&gt;"",TODAY()&gt;A368+Settings!$C$7),"Unpaid","Due")))))</f>
        <v/>
      </c>
      <c r="L368" s="52" t="str">
        <f t="shared" si="25"/>
        <v/>
      </c>
      <c r="M368" s="47"/>
      <c r="N368" s="48" t="str">
        <f t="shared" si="26"/>
        <v/>
      </c>
      <c r="O368" s="48" t="str">
        <f>IF(B368="","",COUNTIF($B$7:B368,B368))</f>
        <v/>
      </c>
      <c r="P368" s="48" t="str">
        <f t="shared" si="27"/>
        <v/>
      </c>
      <c r="Q368" s="48" t="str">
        <f t="shared" si="28"/>
        <v/>
      </c>
      <c r="R368" s="48" t="str">
        <f t="shared" si="29"/>
        <v/>
      </c>
    </row>
    <row r="369" spans="1:18" ht="16" x14ac:dyDescent="0.2">
      <c r="A369" s="50"/>
      <c r="B369" s="47"/>
      <c r="C369" s="48" t="str">
        <f>IF(B369="","",IFERROR(INDEX(Tenants!$B$6:$B$35,MATCH(B369,Tenants!$A$6:$A$35,0)),"Unit not found"))</f>
        <v/>
      </c>
      <c r="D369" s="48" t="str">
        <f>IF(B369="","",IF(J369="Y","(vacant)",IFERROR(INDEX(Tenants!$C$6:$C$35,MATCH(B369,Tenants!$A$6:$A$35,0)),"")))</f>
        <v/>
      </c>
      <c r="E369" s="56"/>
      <c r="F369" s="56"/>
      <c r="G369" s="56"/>
      <c r="H369" s="50"/>
      <c r="I369" s="47"/>
      <c r="J369" s="47"/>
      <c r="K369" s="48" t="str">
        <f ca="1">IF(B369="","",IF(UPPER(J369)="Y","Vacant",IF(AND(G369&gt;0,G369&gt;=E369+F369),IF(AND(H369&lt;&gt;"",A369&lt;&gt;"",H369&gt;A369+Settings!$C$7),"Paid late","Paid"),IF(G369&gt;0,"Partial",IF(AND(A369&lt;&gt;"",TODAY()&gt;A369+Settings!$C$7),"Unpaid","Due")))))</f>
        <v/>
      </c>
      <c r="L369" s="52" t="str">
        <f t="shared" si="25"/>
        <v/>
      </c>
      <c r="M369" s="47"/>
      <c r="N369" s="48" t="str">
        <f t="shared" si="26"/>
        <v/>
      </c>
      <c r="O369" s="48" t="str">
        <f>IF(B369="","",COUNTIF($B$7:B369,B369))</f>
        <v/>
      </c>
      <c r="P369" s="48" t="str">
        <f t="shared" si="27"/>
        <v/>
      </c>
      <c r="Q369" s="48" t="str">
        <f t="shared" si="28"/>
        <v/>
      </c>
      <c r="R369" s="48" t="str">
        <f t="shared" si="29"/>
        <v/>
      </c>
    </row>
    <row r="370" spans="1:18" ht="16" x14ac:dyDescent="0.2">
      <c r="A370" s="50"/>
      <c r="B370" s="47"/>
      <c r="C370" s="48" t="str">
        <f>IF(B370="","",IFERROR(INDEX(Tenants!$B$6:$B$35,MATCH(B370,Tenants!$A$6:$A$35,0)),"Unit not found"))</f>
        <v/>
      </c>
      <c r="D370" s="48" t="str">
        <f>IF(B370="","",IF(J370="Y","(vacant)",IFERROR(INDEX(Tenants!$C$6:$C$35,MATCH(B370,Tenants!$A$6:$A$35,0)),"")))</f>
        <v/>
      </c>
      <c r="E370" s="56"/>
      <c r="F370" s="56"/>
      <c r="G370" s="56"/>
      <c r="H370" s="50"/>
      <c r="I370" s="47"/>
      <c r="J370" s="47"/>
      <c r="K370" s="48" t="str">
        <f ca="1">IF(B370="","",IF(UPPER(J370)="Y","Vacant",IF(AND(G370&gt;0,G370&gt;=E370+F370),IF(AND(H370&lt;&gt;"",A370&lt;&gt;"",H370&gt;A370+Settings!$C$7),"Paid late","Paid"),IF(G370&gt;0,"Partial",IF(AND(A370&lt;&gt;"",TODAY()&gt;A370+Settings!$C$7),"Unpaid","Due")))))</f>
        <v/>
      </c>
      <c r="L370" s="52" t="str">
        <f t="shared" si="25"/>
        <v/>
      </c>
      <c r="M370" s="47"/>
      <c r="N370" s="48" t="str">
        <f t="shared" si="26"/>
        <v/>
      </c>
      <c r="O370" s="48" t="str">
        <f>IF(B370="","",COUNTIF($B$7:B370,B370))</f>
        <v/>
      </c>
      <c r="P370" s="48" t="str">
        <f t="shared" si="27"/>
        <v/>
      </c>
      <c r="Q370" s="48" t="str">
        <f t="shared" si="28"/>
        <v/>
      </c>
      <c r="R370" s="48" t="str">
        <f t="shared" si="29"/>
        <v/>
      </c>
    </row>
    <row r="371" spans="1:18" ht="16" x14ac:dyDescent="0.2">
      <c r="A371" s="50"/>
      <c r="B371" s="47"/>
      <c r="C371" s="48" t="str">
        <f>IF(B371="","",IFERROR(INDEX(Tenants!$B$6:$B$35,MATCH(B371,Tenants!$A$6:$A$35,0)),"Unit not found"))</f>
        <v/>
      </c>
      <c r="D371" s="48" t="str">
        <f>IF(B371="","",IF(J371="Y","(vacant)",IFERROR(INDEX(Tenants!$C$6:$C$35,MATCH(B371,Tenants!$A$6:$A$35,0)),"")))</f>
        <v/>
      </c>
      <c r="E371" s="56"/>
      <c r="F371" s="56"/>
      <c r="G371" s="56"/>
      <c r="H371" s="50"/>
      <c r="I371" s="47"/>
      <c r="J371" s="47"/>
      <c r="K371" s="48" t="str">
        <f ca="1">IF(B371="","",IF(UPPER(J371)="Y","Vacant",IF(AND(G371&gt;0,G371&gt;=E371+F371),IF(AND(H371&lt;&gt;"",A371&lt;&gt;"",H371&gt;A371+Settings!$C$7),"Paid late","Paid"),IF(G371&gt;0,"Partial",IF(AND(A371&lt;&gt;"",TODAY()&gt;A371+Settings!$C$7),"Unpaid","Due")))))</f>
        <v/>
      </c>
      <c r="L371" s="52" t="str">
        <f t="shared" si="25"/>
        <v/>
      </c>
      <c r="M371" s="47"/>
      <c r="N371" s="48" t="str">
        <f t="shared" si="26"/>
        <v/>
      </c>
      <c r="O371" s="48" t="str">
        <f>IF(B371="","",COUNTIF($B$7:B371,B371))</f>
        <v/>
      </c>
      <c r="P371" s="48" t="str">
        <f t="shared" si="27"/>
        <v/>
      </c>
      <c r="Q371" s="48" t="str">
        <f t="shared" si="28"/>
        <v/>
      </c>
      <c r="R371" s="48" t="str">
        <f t="shared" si="29"/>
        <v/>
      </c>
    </row>
    <row r="372" spans="1:18" ht="16" x14ac:dyDescent="0.2">
      <c r="A372" s="50"/>
      <c r="B372" s="47"/>
      <c r="C372" s="48" t="str">
        <f>IF(B372="","",IFERROR(INDEX(Tenants!$B$6:$B$35,MATCH(B372,Tenants!$A$6:$A$35,0)),"Unit not found"))</f>
        <v/>
      </c>
      <c r="D372" s="48" t="str">
        <f>IF(B372="","",IF(J372="Y","(vacant)",IFERROR(INDEX(Tenants!$C$6:$C$35,MATCH(B372,Tenants!$A$6:$A$35,0)),"")))</f>
        <v/>
      </c>
      <c r="E372" s="56"/>
      <c r="F372" s="56"/>
      <c r="G372" s="56"/>
      <c r="H372" s="50"/>
      <c r="I372" s="47"/>
      <c r="J372" s="47"/>
      <c r="K372" s="48" t="str">
        <f ca="1">IF(B372="","",IF(UPPER(J372)="Y","Vacant",IF(AND(G372&gt;0,G372&gt;=E372+F372),IF(AND(H372&lt;&gt;"",A372&lt;&gt;"",H372&gt;A372+Settings!$C$7),"Paid late","Paid"),IF(G372&gt;0,"Partial",IF(AND(A372&lt;&gt;"",TODAY()&gt;A372+Settings!$C$7),"Unpaid","Due")))))</f>
        <v/>
      </c>
      <c r="L372" s="52" t="str">
        <f t="shared" si="25"/>
        <v/>
      </c>
      <c r="M372" s="47"/>
      <c r="N372" s="48" t="str">
        <f t="shared" si="26"/>
        <v/>
      </c>
      <c r="O372" s="48" t="str">
        <f>IF(B372="","",COUNTIF($B$7:B372,B372))</f>
        <v/>
      </c>
      <c r="P372" s="48" t="str">
        <f t="shared" si="27"/>
        <v/>
      </c>
      <c r="Q372" s="48" t="str">
        <f t="shared" si="28"/>
        <v/>
      </c>
      <c r="R372" s="48" t="str">
        <f t="shared" si="29"/>
        <v/>
      </c>
    </row>
    <row r="373" spans="1:18" ht="16" x14ac:dyDescent="0.2">
      <c r="A373" s="50"/>
      <c r="B373" s="47"/>
      <c r="C373" s="48" t="str">
        <f>IF(B373="","",IFERROR(INDEX(Tenants!$B$6:$B$35,MATCH(B373,Tenants!$A$6:$A$35,0)),"Unit not found"))</f>
        <v/>
      </c>
      <c r="D373" s="48" t="str">
        <f>IF(B373="","",IF(J373="Y","(vacant)",IFERROR(INDEX(Tenants!$C$6:$C$35,MATCH(B373,Tenants!$A$6:$A$35,0)),"")))</f>
        <v/>
      </c>
      <c r="E373" s="56"/>
      <c r="F373" s="56"/>
      <c r="G373" s="56"/>
      <c r="H373" s="50"/>
      <c r="I373" s="47"/>
      <c r="J373" s="47"/>
      <c r="K373" s="48" t="str">
        <f ca="1">IF(B373="","",IF(UPPER(J373)="Y","Vacant",IF(AND(G373&gt;0,G373&gt;=E373+F373),IF(AND(H373&lt;&gt;"",A373&lt;&gt;"",H373&gt;A373+Settings!$C$7),"Paid late","Paid"),IF(G373&gt;0,"Partial",IF(AND(A373&lt;&gt;"",TODAY()&gt;A373+Settings!$C$7),"Unpaid","Due")))))</f>
        <v/>
      </c>
      <c r="L373" s="52" t="str">
        <f t="shared" si="25"/>
        <v/>
      </c>
      <c r="M373" s="47"/>
      <c r="N373" s="48" t="str">
        <f t="shared" si="26"/>
        <v/>
      </c>
      <c r="O373" s="48" t="str">
        <f>IF(B373="","",COUNTIF($B$7:B373,B373))</f>
        <v/>
      </c>
      <c r="P373" s="48" t="str">
        <f t="shared" si="27"/>
        <v/>
      </c>
      <c r="Q373" s="48" t="str">
        <f t="shared" si="28"/>
        <v/>
      </c>
      <c r="R373" s="48" t="str">
        <f t="shared" si="29"/>
        <v/>
      </c>
    </row>
    <row r="374" spans="1:18" ht="16" x14ac:dyDescent="0.2">
      <c r="A374" s="50"/>
      <c r="B374" s="47"/>
      <c r="C374" s="48" t="str">
        <f>IF(B374="","",IFERROR(INDEX(Tenants!$B$6:$B$35,MATCH(B374,Tenants!$A$6:$A$35,0)),"Unit not found"))</f>
        <v/>
      </c>
      <c r="D374" s="48" t="str">
        <f>IF(B374="","",IF(J374="Y","(vacant)",IFERROR(INDEX(Tenants!$C$6:$C$35,MATCH(B374,Tenants!$A$6:$A$35,0)),"")))</f>
        <v/>
      </c>
      <c r="E374" s="56"/>
      <c r="F374" s="56"/>
      <c r="G374" s="56"/>
      <c r="H374" s="50"/>
      <c r="I374" s="47"/>
      <c r="J374" s="47"/>
      <c r="K374" s="48" t="str">
        <f ca="1">IF(B374="","",IF(UPPER(J374)="Y","Vacant",IF(AND(G374&gt;0,G374&gt;=E374+F374),IF(AND(H374&lt;&gt;"",A374&lt;&gt;"",H374&gt;A374+Settings!$C$7),"Paid late","Paid"),IF(G374&gt;0,"Partial",IF(AND(A374&lt;&gt;"",TODAY()&gt;A374+Settings!$C$7),"Unpaid","Due")))))</f>
        <v/>
      </c>
      <c r="L374" s="52" t="str">
        <f t="shared" si="25"/>
        <v/>
      </c>
      <c r="M374" s="47"/>
      <c r="N374" s="48" t="str">
        <f t="shared" si="26"/>
        <v/>
      </c>
      <c r="O374" s="48" t="str">
        <f>IF(B374="","",COUNTIF($B$7:B374,B374))</f>
        <v/>
      </c>
      <c r="P374" s="48" t="str">
        <f t="shared" si="27"/>
        <v/>
      </c>
      <c r="Q374" s="48" t="str">
        <f t="shared" si="28"/>
        <v/>
      </c>
      <c r="R374" s="48" t="str">
        <f t="shared" si="29"/>
        <v/>
      </c>
    </row>
    <row r="375" spans="1:18" ht="16" x14ac:dyDescent="0.2">
      <c r="A375" s="50"/>
      <c r="B375" s="47"/>
      <c r="C375" s="48" t="str">
        <f>IF(B375="","",IFERROR(INDEX(Tenants!$B$6:$B$35,MATCH(B375,Tenants!$A$6:$A$35,0)),"Unit not found"))</f>
        <v/>
      </c>
      <c r="D375" s="48" t="str">
        <f>IF(B375="","",IF(J375="Y","(vacant)",IFERROR(INDEX(Tenants!$C$6:$C$35,MATCH(B375,Tenants!$A$6:$A$35,0)),"")))</f>
        <v/>
      </c>
      <c r="E375" s="56"/>
      <c r="F375" s="56"/>
      <c r="G375" s="56"/>
      <c r="H375" s="50"/>
      <c r="I375" s="47"/>
      <c r="J375" s="47"/>
      <c r="K375" s="48" t="str">
        <f ca="1">IF(B375="","",IF(UPPER(J375)="Y","Vacant",IF(AND(G375&gt;0,G375&gt;=E375+F375),IF(AND(H375&lt;&gt;"",A375&lt;&gt;"",H375&gt;A375+Settings!$C$7),"Paid late","Paid"),IF(G375&gt;0,"Partial",IF(AND(A375&lt;&gt;"",TODAY()&gt;A375+Settings!$C$7),"Unpaid","Due")))))</f>
        <v/>
      </c>
      <c r="L375" s="52" t="str">
        <f t="shared" si="25"/>
        <v/>
      </c>
      <c r="M375" s="47"/>
      <c r="N375" s="48" t="str">
        <f t="shared" si="26"/>
        <v/>
      </c>
      <c r="O375" s="48" t="str">
        <f>IF(B375="","",COUNTIF($B$7:B375,B375))</f>
        <v/>
      </c>
      <c r="P375" s="48" t="str">
        <f t="shared" si="27"/>
        <v/>
      </c>
      <c r="Q375" s="48" t="str">
        <f t="shared" si="28"/>
        <v/>
      </c>
      <c r="R375" s="48" t="str">
        <f t="shared" si="29"/>
        <v/>
      </c>
    </row>
    <row r="376" spans="1:18" ht="16" x14ac:dyDescent="0.2">
      <c r="A376" s="50"/>
      <c r="B376" s="47"/>
      <c r="C376" s="48" t="str">
        <f>IF(B376="","",IFERROR(INDEX(Tenants!$B$6:$B$35,MATCH(B376,Tenants!$A$6:$A$35,0)),"Unit not found"))</f>
        <v/>
      </c>
      <c r="D376" s="48" t="str">
        <f>IF(B376="","",IF(J376="Y","(vacant)",IFERROR(INDEX(Tenants!$C$6:$C$35,MATCH(B376,Tenants!$A$6:$A$35,0)),"")))</f>
        <v/>
      </c>
      <c r="E376" s="56"/>
      <c r="F376" s="56"/>
      <c r="G376" s="56"/>
      <c r="H376" s="50"/>
      <c r="I376" s="47"/>
      <c r="J376" s="47"/>
      <c r="K376" s="48" t="str">
        <f ca="1">IF(B376="","",IF(UPPER(J376)="Y","Vacant",IF(AND(G376&gt;0,G376&gt;=E376+F376),IF(AND(H376&lt;&gt;"",A376&lt;&gt;"",H376&gt;A376+Settings!$C$7),"Paid late","Paid"),IF(G376&gt;0,"Partial",IF(AND(A376&lt;&gt;"",TODAY()&gt;A376+Settings!$C$7),"Unpaid","Due")))))</f>
        <v/>
      </c>
      <c r="L376" s="52" t="str">
        <f t="shared" si="25"/>
        <v/>
      </c>
      <c r="M376" s="47"/>
      <c r="N376" s="48" t="str">
        <f t="shared" si="26"/>
        <v/>
      </c>
      <c r="O376" s="48" t="str">
        <f>IF(B376="","",COUNTIF($B$7:B376,B376))</f>
        <v/>
      </c>
      <c r="P376" s="48" t="str">
        <f t="shared" si="27"/>
        <v/>
      </c>
      <c r="Q376" s="48" t="str">
        <f t="shared" si="28"/>
        <v/>
      </c>
      <c r="R376" s="48" t="str">
        <f t="shared" si="29"/>
        <v/>
      </c>
    </row>
    <row r="377" spans="1:18" ht="16" x14ac:dyDescent="0.2">
      <c r="A377" s="50"/>
      <c r="B377" s="47"/>
      <c r="C377" s="48" t="str">
        <f>IF(B377="","",IFERROR(INDEX(Tenants!$B$6:$B$35,MATCH(B377,Tenants!$A$6:$A$35,0)),"Unit not found"))</f>
        <v/>
      </c>
      <c r="D377" s="48" t="str">
        <f>IF(B377="","",IF(J377="Y","(vacant)",IFERROR(INDEX(Tenants!$C$6:$C$35,MATCH(B377,Tenants!$A$6:$A$35,0)),"")))</f>
        <v/>
      </c>
      <c r="E377" s="56"/>
      <c r="F377" s="56"/>
      <c r="G377" s="56"/>
      <c r="H377" s="50"/>
      <c r="I377" s="47"/>
      <c r="J377" s="47"/>
      <c r="K377" s="48" t="str">
        <f ca="1">IF(B377="","",IF(UPPER(J377)="Y","Vacant",IF(AND(G377&gt;0,G377&gt;=E377+F377),IF(AND(H377&lt;&gt;"",A377&lt;&gt;"",H377&gt;A377+Settings!$C$7),"Paid late","Paid"),IF(G377&gt;0,"Partial",IF(AND(A377&lt;&gt;"",TODAY()&gt;A377+Settings!$C$7),"Unpaid","Due")))))</f>
        <v/>
      </c>
      <c r="L377" s="52" t="str">
        <f t="shared" si="25"/>
        <v/>
      </c>
      <c r="M377" s="47"/>
      <c r="N377" s="48" t="str">
        <f t="shared" si="26"/>
        <v/>
      </c>
      <c r="O377" s="48" t="str">
        <f>IF(B377="","",COUNTIF($B$7:B377,B377))</f>
        <v/>
      </c>
      <c r="P377" s="48" t="str">
        <f t="shared" si="27"/>
        <v/>
      </c>
      <c r="Q377" s="48" t="str">
        <f t="shared" si="28"/>
        <v/>
      </c>
      <c r="R377" s="48" t="str">
        <f t="shared" si="29"/>
        <v/>
      </c>
    </row>
    <row r="378" spans="1:18" ht="16" x14ac:dyDescent="0.2">
      <c r="A378" s="50"/>
      <c r="B378" s="47"/>
      <c r="C378" s="48" t="str">
        <f>IF(B378="","",IFERROR(INDEX(Tenants!$B$6:$B$35,MATCH(B378,Tenants!$A$6:$A$35,0)),"Unit not found"))</f>
        <v/>
      </c>
      <c r="D378" s="48" t="str">
        <f>IF(B378="","",IF(J378="Y","(vacant)",IFERROR(INDEX(Tenants!$C$6:$C$35,MATCH(B378,Tenants!$A$6:$A$35,0)),"")))</f>
        <v/>
      </c>
      <c r="E378" s="56"/>
      <c r="F378" s="56"/>
      <c r="G378" s="56"/>
      <c r="H378" s="50"/>
      <c r="I378" s="47"/>
      <c r="J378" s="47"/>
      <c r="K378" s="48" t="str">
        <f ca="1">IF(B378="","",IF(UPPER(J378)="Y","Vacant",IF(AND(G378&gt;0,G378&gt;=E378+F378),IF(AND(H378&lt;&gt;"",A378&lt;&gt;"",H378&gt;A378+Settings!$C$7),"Paid late","Paid"),IF(G378&gt;0,"Partial",IF(AND(A378&lt;&gt;"",TODAY()&gt;A378+Settings!$C$7),"Unpaid","Due")))))</f>
        <v/>
      </c>
      <c r="L378" s="52" t="str">
        <f t="shared" si="25"/>
        <v/>
      </c>
      <c r="M378" s="47"/>
      <c r="N378" s="48" t="str">
        <f t="shared" si="26"/>
        <v/>
      </c>
      <c r="O378" s="48" t="str">
        <f>IF(B378="","",COUNTIF($B$7:B378,B378))</f>
        <v/>
      </c>
      <c r="P378" s="48" t="str">
        <f t="shared" si="27"/>
        <v/>
      </c>
      <c r="Q378" s="48" t="str">
        <f t="shared" si="28"/>
        <v/>
      </c>
      <c r="R378" s="48" t="str">
        <f t="shared" si="29"/>
        <v/>
      </c>
    </row>
    <row r="379" spans="1:18" ht="16" x14ac:dyDescent="0.2">
      <c r="A379" s="50"/>
      <c r="B379" s="47"/>
      <c r="C379" s="48" t="str">
        <f>IF(B379="","",IFERROR(INDEX(Tenants!$B$6:$B$35,MATCH(B379,Tenants!$A$6:$A$35,0)),"Unit not found"))</f>
        <v/>
      </c>
      <c r="D379" s="48" t="str">
        <f>IF(B379="","",IF(J379="Y","(vacant)",IFERROR(INDEX(Tenants!$C$6:$C$35,MATCH(B379,Tenants!$A$6:$A$35,0)),"")))</f>
        <v/>
      </c>
      <c r="E379" s="56"/>
      <c r="F379" s="56"/>
      <c r="G379" s="56"/>
      <c r="H379" s="50"/>
      <c r="I379" s="47"/>
      <c r="J379" s="47"/>
      <c r="K379" s="48" t="str">
        <f ca="1">IF(B379="","",IF(UPPER(J379)="Y","Vacant",IF(AND(G379&gt;0,G379&gt;=E379+F379),IF(AND(H379&lt;&gt;"",A379&lt;&gt;"",H379&gt;A379+Settings!$C$7),"Paid late","Paid"),IF(G379&gt;0,"Partial",IF(AND(A379&lt;&gt;"",TODAY()&gt;A379+Settings!$C$7),"Unpaid","Due")))))</f>
        <v/>
      </c>
      <c r="L379" s="52" t="str">
        <f t="shared" si="25"/>
        <v/>
      </c>
      <c r="M379" s="47"/>
      <c r="N379" s="48" t="str">
        <f t="shared" si="26"/>
        <v/>
      </c>
      <c r="O379" s="48" t="str">
        <f>IF(B379="","",COUNTIF($B$7:B379,B379))</f>
        <v/>
      </c>
      <c r="P379" s="48" t="str">
        <f t="shared" si="27"/>
        <v/>
      </c>
      <c r="Q379" s="48" t="str">
        <f t="shared" si="28"/>
        <v/>
      </c>
      <c r="R379" s="48" t="str">
        <f t="shared" si="29"/>
        <v/>
      </c>
    </row>
    <row r="380" spans="1:18" ht="16" x14ac:dyDescent="0.2">
      <c r="A380" s="50"/>
      <c r="B380" s="47"/>
      <c r="C380" s="48" t="str">
        <f>IF(B380="","",IFERROR(INDEX(Tenants!$B$6:$B$35,MATCH(B380,Tenants!$A$6:$A$35,0)),"Unit not found"))</f>
        <v/>
      </c>
      <c r="D380" s="48" t="str">
        <f>IF(B380="","",IF(J380="Y","(vacant)",IFERROR(INDEX(Tenants!$C$6:$C$35,MATCH(B380,Tenants!$A$6:$A$35,0)),"")))</f>
        <v/>
      </c>
      <c r="E380" s="56"/>
      <c r="F380" s="56"/>
      <c r="G380" s="56"/>
      <c r="H380" s="50"/>
      <c r="I380" s="47"/>
      <c r="J380" s="47"/>
      <c r="K380" s="48" t="str">
        <f ca="1">IF(B380="","",IF(UPPER(J380)="Y","Vacant",IF(AND(G380&gt;0,G380&gt;=E380+F380),IF(AND(H380&lt;&gt;"",A380&lt;&gt;"",H380&gt;A380+Settings!$C$7),"Paid late","Paid"),IF(G380&gt;0,"Partial",IF(AND(A380&lt;&gt;"",TODAY()&gt;A380+Settings!$C$7),"Unpaid","Due")))))</f>
        <v/>
      </c>
      <c r="L380" s="52" t="str">
        <f t="shared" si="25"/>
        <v/>
      </c>
      <c r="M380" s="47"/>
      <c r="N380" s="48" t="str">
        <f t="shared" si="26"/>
        <v/>
      </c>
      <c r="O380" s="48" t="str">
        <f>IF(B380="","",COUNTIF($B$7:B380,B380))</f>
        <v/>
      </c>
      <c r="P380" s="48" t="str">
        <f t="shared" si="27"/>
        <v/>
      </c>
      <c r="Q380" s="48" t="str">
        <f t="shared" si="28"/>
        <v/>
      </c>
      <c r="R380" s="48" t="str">
        <f t="shared" si="29"/>
        <v/>
      </c>
    </row>
    <row r="381" spans="1:18" ht="16" x14ac:dyDescent="0.2">
      <c r="A381" s="50"/>
      <c r="B381" s="47"/>
      <c r="C381" s="48" t="str">
        <f>IF(B381="","",IFERROR(INDEX(Tenants!$B$6:$B$35,MATCH(B381,Tenants!$A$6:$A$35,0)),"Unit not found"))</f>
        <v/>
      </c>
      <c r="D381" s="48" t="str">
        <f>IF(B381="","",IF(J381="Y","(vacant)",IFERROR(INDEX(Tenants!$C$6:$C$35,MATCH(B381,Tenants!$A$6:$A$35,0)),"")))</f>
        <v/>
      </c>
      <c r="E381" s="56"/>
      <c r="F381" s="56"/>
      <c r="G381" s="56"/>
      <c r="H381" s="50"/>
      <c r="I381" s="47"/>
      <c r="J381" s="47"/>
      <c r="K381" s="48" t="str">
        <f ca="1">IF(B381="","",IF(UPPER(J381)="Y","Vacant",IF(AND(G381&gt;0,G381&gt;=E381+F381),IF(AND(H381&lt;&gt;"",A381&lt;&gt;"",H381&gt;A381+Settings!$C$7),"Paid late","Paid"),IF(G381&gt;0,"Partial",IF(AND(A381&lt;&gt;"",TODAY()&gt;A381+Settings!$C$7),"Unpaid","Due")))))</f>
        <v/>
      </c>
      <c r="L381" s="52" t="str">
        <f t="shared" si="25"/>
        <v/>
      </c>
      <c r="M381" s="47"/>
      <c r="N381" s="48" t="str">
        <f t="shared" si="26"/>
        <v/>
      </c>
      <c r="O381" s="48" t="str">
        <f>IF(B381="","",COUNTIF($B$7:B381,B381))</f>
        <v/>
      </c>
      <c r="P381" s="48" t="str">
        <f t="shared" si="27"/>
        <v/>
      </c>
      <c r="Q381" s="48" t="str">
        <f t="shared" si="28"/>
        <v/>
      </c>
      <c r="R381" s="48" t="str">
        <f t="shared" si="29"/>
        <v/>
      </c>
    </row>
    <row r="382" spans="1:18" ht="16" x14ac:dyDescent="0.2">
      <c r="A382" s="50"/>
      <c r="B382" s="47"/>
      <c r="C382" s="48" t="str">
        <f>IF(B382="","",IFERROR(INDEX(Tenants!$B$6:$B$35,MATCH(B382,Tenants!$A$6:$A$35,0)),"Unit not found"))</f>
        <v/>
      </c>
      <c r="D382" s="48" t="str">
        <f>IF(B382="","",IF(J382="Y","(vacant)",IFERROR(INDEX(Tenants!$C$6:$C$35,MATCH(B382,Tenants!$A$6:$A$35,0)),"")))</f>
        <v/>
      </c>
      <c r="E382" s="56"/>
      <c r="F382" s="56"/>
      <c r="G382" s="56"/>
      <c r="H382" s="50"/>
      <c r="I382" s="47"/>
      <c r="J382" s="47"/>
      <c r="K382" s="48" t="str">
        <f ca="1">IF(B382="","",IF(UPPER(J382)="Y","Vacant",IF(AND(G382&gt;0,G382&gt;=E382+F382),IF(AND(H382&lt;&gt;"",A382&lt;&gt;"",H382&gt;A382+Settings!$C$7),"Paid late","Paid"),IF(G382&gt;0,"Partial",IF(AND(A382&lt;&gt;"",TODAY()&gt;A382+Settings!$C$7),"Unpaid","Due")))))</f>
        <v/>
      </c>
      <c r="L382" s="52" t="str">
        <f t="shared" si="25"/>
        <v/>
      </c>
      <c r="M382" s="47"/>
      <c r="N382" s="48" t="str">
        <f t="shared" si="26"/>
        <v/>
      </c>
      <c r="O382" s="48" t="str">
        <f>IF(B382="","",COUNTIF($B$7:B382,B382))</f>
        <v/>
      </c>
      <c r="P382" s="48" t="str">
        <f t="shared" si="27"/>
        <v/>
      </c>
      <c r="Q382" s="48" t="str">
        <f t="shared" si="28"/>
        <v/>
      </c>
      <c r="R382" s="48" t="str">
        <f t="shared" si="29"/>
        <v/>
      </c>
    </row>
    <row r="383" spans="1:18" ht="16" x14ac:dyDescent="0.2">
      <c r="A383" s="50"/>
      <c r="B383" s="47"/>
      <c r="C383" s="48" t="str">
        <f>IF(B383="","",IFERROR(INDEX(Tenants!$B$6:$B$35,MATCH(B383,Tenants!$A$6:$A$35,0)),"Unit not found"))</f>
        <v/>
      </c>
      <c r="D383" s="48" t="str">
        <f>IF(B383="","",IF(J383="Y","(vacant)",IFERROR(INDEX(Tenants!$C$6:$C$35,MATCH(B383,Tenants!$A$6:$A$35,0)),"")))</f>
        <v/>
      </c>
      <c r="E383" s="56"/>
      <c r="F383" s="56"/>
      <c r="G383" s="56"/>
      <c r="H383" s="50"/>
      <c r="I383" s="47"/>
      <c r="J383" s="47"/>
      <c r="K383" s="48" t="str">
        <f ca="1">IF(B383="","",IF(UPPER(J383)="Y","Vacant",IF(AND(G383&gt;0,G383&gt;=E383+F383),IF(AND(H383&lt;&gt;"",A383&lt;&gt;"",H383&gt;A383+Settings!$C$7),"Paid late","Paid"),IF(G383&gt;0,"Partial",IF(AND(A383&lt;&gt;"",TODAY()&gt;A383+Settings!$C$7),"Unpaid","Due")))))</f>
        <v/>
      </c>
      <c r="L383" s="52" t="str">
        <f t="shared" si="25"/>
        <v/>
      </c>
      <c r="M383" s="47"/>
      <c r="N383" s="48" t="str">
        <f t="shared" si="26"/>
        <v/>
      </c>
      <c r="O383" s="48" t="str">
        <f>IF(B383="","",COUNTIF($B$7:B383,B383))</f>
        <v/>
      </c>
      <c r="P383" s="48" t="str">
        <f t="shared" si="27"/>
        <v/>
      </c>
      <c r="Q383" s="48" t="str">
        <f t="shared" si="28"/>
        <v/>
      </c>
      <c r="R383" s="48" t="str">
        <f t="shared" si="29"/>
        <v/>
      </c>
    </row>
    <row r="384" spans="1:18" ht="16" x14ac:dyDescent="0.2">
      <c r="A384" s="50"/>
      <c r="B384" s="47"/>
      <c r="C384" s="48" t="str">
        <f>IF(B384="","",IFERROR(INDEX(Tenants!$B$6:$B$35,MATCH(B384,Tenants!$A$6:$A$35,0)),"Unit not found"))</f>
        <v/>
      </c>
      <c r="D384" s="48" t="str">
        <f>IF(B384="","",IF(J384="Y","(vacant)",IFERROR(INDEX(Tenants!$C$6:$C$35,MATCH(B384,Tenants!$A$6:$A$35,0)),"")))</f>
        <v/>
      </c>
      <c r="E384" s="56"/>
      <c r="F384" s="56"/>
      <c r="G384" s="56"/>
      <c r="H384" s="50"/>
      <c r="I384" s="47"/>
      <c r="J384" s="47"/>
      <c r="K384" s="48" t="str">
        <f ca="1">IF(B384="","",IF(UPPER(J384)="Y","Vacant",IF(AND(G384&gt;0,G384&gt;=E384+F384),IF(AND(H384&lt;&gt;"",A384&lt;&gt;"",H384&gt;A384+Settings!$C$7),"Paid late","Paid"),IF(G384&gt;0,"Partial",IF(AND(A384&lt;&gt;"",TODAY()&gt;A384+Settings!$C$7),"Unpaid","Due")))))</f>
        <v/>
      </c>
      <c r="L384" s="52" t="str">
        <f t="shared" si="25"/>
        <v/>
      </c>
      <c r="M384" s="47"/>
      <c r="N384" s="48" t="str">
        <f t="shared" si="26"/>
        <v/>
      </c>
      <c r="O384" s="48" t="str">
        <f>IF(B384="","",COUNTIF($B$7:B384,B384))</f>
        <v/>
      </c>
      <c r="P384" s="48" t="str">
        <f t="shared" si="27"/>
        <v/>
      </c>
      <c r="Q384" s="48" t="str">
        <f t="shared" si="28"/>
        <v/>
      </c>
      <c r="R384" s="48" t="str">
        <f t="shared" si="29"/>
        <v/>
      </c>
    </row>
    <row r="385" spans="1:18" ht="16" x14ac:dyDescent="0.2">
      <c r="A385" s="50"/>
      <c r="B385" s="47"/>
      <c r="C385" s="48" t="str">
        <f>IF(B385="","",IFERROR(INDEX(Tenants!$B$6:$B$35,MATCH(B385,Tenants!$A$6:$A$35,0)),"Unit not found"))</f>
        <v/>
      </c>
      <c r="D385" s="48" t="str">
        <f>IF(B385="","",IF(J385="Y","(vacant)",IFERROR(INDEX(Tenants!$C$6:$C$35,MATCH(B385,Tenants!$A$6:$A$35,0)),"")))</f>
        <v/>
      </c>
      <c r="E385" s="56"/>
      <c r="F385" s="56"/>
      <c r="G385" s="56"/>
      <c r="H385" s="50"/>
      <c r="I385" s="47"/>
      <c r="J385" s="47"/>
      <c r="K385" s="48" t="str">
        <f ca="1">IF(B385="","",IF(UPPER(J385)="Y","Vacant",IF(AND(G385&gt;0,G385&gt;=E385+F385),IF(AND(H385&lt;&gt;"",A385&lt;&gt;"",H385&gt;A385+Settings!$C$7),"Paid late","Paid"),IF(G385&gt;0,"Partial",IF(AND(A385&lt;&gt;"",TODAY()&gt;A385+Settings!$C$7),"Unpaid","Due")))))</f>
        <v/>
      </c>
      <c r="L385" s="52" t="str">
        <f t="shared" si="25"/>
        <v/>
      </c>
      <c r="M385" s="47"/>
      <c r="N385" s="48" t="str">
        <f t="shared" si="26"/>
        <v/>
      </c>
      <c r="O385" s="48" t="str">
        <f>IF(B385="","",COUNTIF($B$7:B385,B385))</f>
        <v/>
      </c>
      <c r="P385" s="48" t="str">
        <f t="shared" si="27"/>
        <v/>
      </c>
      <c r="Q385" s="48" t="str">
        <f t="shared" si="28"/>
        <v/>
      </c>
      <c r="R385" s="48" t="str">
        <f t="shared" si="29"/>
        <v/>
      </c>
    </row>
    <row r="386" spans="1:18" ht="16" x14ac:dyDescent="0.2">
      <c r="A386" s="50"/>
      <c r="B386" s="47"/>
      <c r="C386" s="48" t="str">
        <f>IF(B386="","",IFERROR(INDEX(Tenants!$B$6:$B$35,MATCH(B386,Tenants!$A$6:$A$35,0)),"Unit not found"))</f>
        <v/>
      </c>
      <c r="D386" s="48" t="str">
        <f>IF(B386="","",IF(J386="Y","(vacant)",IFERROR(INDEX(Tenants!$C$6:$C$35,MATCH(B386,Tenants!$A$6:$A$35,0)),"")))</f>
        <v/>
      </c>
      <c r="E386" s="56"/>
      <c r="F386" s="56"/>
      <c r="G386" s="56"/>
      <c r="H386" s="50"/>
      <c r="I386" s="47"/>
      <c r="J386" s="47"/>
      <c r="K386" s="48" t="str">
        <f ca="1">IF(B386="","",IF(UPPER(J386)="Y","Vacant",IF(AND(G386&gt;0,G386&gt;=E386+F386),IF(AND(H386&lt;&gt;"",A386&lt;&gt;"",H386&gt;A386+Settings!$C$7),"Paid late","Paid"),IF(G386&gt;0,"Partial",IF(AND(A386&lt;&gt;"",TODAY()&gt;A386+Settings!$C$7),"Unpaid","Due")))))</f>
        <v/>
      </c>
      <c r="L386" s="52" t="str">
        <f t="shared" si="25"/>
        <v/>
      </c>
      <c r="M386" s="47"/>
      <c r="N386" s="48" t="str">
        <f t="shared" si="26"/>
        <v/>
      </c>
      <c r="O386" s="48" t="str">
        <f>IF(B386="","",COUNTIF($B$7:B386,B386))</f>
        <v/>
      </c>
      <c r="P386" s="48" t="str">
        <f t="shared" si="27"/>
        <v/>
      </c>
      <c r="Q386" s="48" t="str">
        <f t="shared" si="28"/>
        <v/>
      </c>
      <c r="R386" s="48" t="str">
        <f t="shared" si="29"/>
        <v/>
      </c>
    </row>
    <row r="387" spans="1:18" ht="16" x14ac:dyDescent="0.2">
      <c r="A387" s="50"/>
      <c r="B387" s="47"/>
      <c r="C387" s="48" t="str">
        <f>IF(B387="","",IFERROR(INDEX(Tenants!$B$6:$B$35,MATCH(B387,Tenants!$A$6:$A$35,0)),"Unit not found"))</f>
        <v/>
      </c>
      <c r="D387" s="48" t="str">
        <f>IF(B387="","",IF(J387="Y","(vacant)",IFERROR(INDEX(Tenants!$C$6:$C$35,MATCH(B387,Tenants!$A$6:$A$35,0)),"")))</f>
        <v/>
      </c>
      <c r="E387" s="56"/>
      <c r="F387" s="56"/>
      <c r="G387" s="56"/>
      <c r="H387" s="50"/>
      <c r="I387" s="47"/>
      <c r="J387" s="47"/>
      <c r="K387" s="48" t="str">
        <f ca="1">IF(B387="","",IF(UPPER(J387)="Y","Vacant",IF(AND(G387&gt;0,G387&gt;=E387+F387),IF(AND(H387&lt;&gt;"",A387&lt;&gt;"",H387&gt;A387+Settings!$C$7),"Paid late","Paid"),IF(G387&gt;0,"Partial",IF(AND(A387&lt;&gt;"",TODAY()&gt;A387+Settings!$C$7),"Unpaid","Due")))))</f>
        <v/>
      </c>
      <c r="L387" s="52" t="str">
        <f t="shared" si="25"/>
        <v/>
      </c>
      <c r="M387" s="47"/>
      <c r="N387" s="48" t="str">
        <f t="shared" si="26"/>
        <v/>
      </c>
      <c r="O387" s="48" t="str">
        <f>IF(B387="","",COUNTIF($B$7:B387,B387))</f>
        <v/>
      </c>
      <c r="P387" s="48" t="str">
        <f t="shared" si="27"/>
        <v/>
      </c>
      <c r="Q387" s="48" t="str">
        <f t="shared" si="28"/>
        <v/>
      </c>
      <c r="R387" s="48" t="str">
        <f t="shared" si="29"/>
        <v/>
      </c>
    </row>
    <row r="388" spans="1:18" ht="16" x14ac:dyDescent="0.2">
      <c r="A388" s="50"/>
      <c r="B388" s="47"/>
      <c r="C388" s="48" t="str">
        <f>IF(B388="","",IFERROR(INDEX(Tenants!$B$6:$B$35,MATCH(B388,Tenants!$A$6:$A$35,0)),"Unit not found"))</f>
        <v/>
      </c>
      <c r="D388" s="48" t="str">
        <f>IF(B388="","",IF(J388="Y","(vacant)",IFERROR(INDEX(Tenants!$C$6:$C$35,MATCH(B388,Tenants!$A$6:$A$35,0)),"")))</f>
        <v/>
      </c>
      <c r="E388" s="56"/>
      <c r="F388" s="56"/>
      <c r="G388" s="56"/>
      <c r="H388" s="50"/>
      <c r="I388" s="47"/>
      <c r="J388" s="47"/>
      <c r="K388" s="48" t="str">
        <f ca="1">IF(B388="","",IF(UPPER(J388)="Y","Vacant",IF(AND(G388&gt;0,G388&gt;=E388+F388),IF(AND(H388&lt;&gt;"",A388&lt;&gt;"",H388&gt;A388+Settings!$C$7),"Paid late","Paid"),IF(G388&gt;0,"Partial",IF(AND(A388&lt;&gt;"",TODAY()&gt;A388+Settings!$C$7),"Unpaid","Due")))))</f>
        <v/>
      </c>
      <c r="L388" s="52" t="str">
        <f t="shared" si="25"/>
        <v/>
      </c>
      <c r="M388" s="47"/>
      <c r="N388" s="48" t="str">
        <f t="shared" si="26"/>
        <v/>
      </c>
      <c r="O388" s="48" t="str">
        <f>IF(B388="","",COUNTIF($B$7:B388,B388))</f>
        <v/>
      </c>
      <c r="P388" s="48" t="str">
        <f t="shared" si="27"/>
        <v/>
      </c>
      <c r="Q388" s="48" t="str">
        <f t="shared" si="28"/>
        <v/>
      </c>
      <c r="R388" s="48" t="str">
        <f t="shared" si="29"/>
        <v/>
      </c>
    </row>
    <row r="389" spans="1:18" ht="16" x14ac:dyDescent="0.2">
      <c r="A389" s="50"/>
      <c r="B389" s="47"/>
      <c r="C389" s="48" t="str">
        <f>IF(B389="","",IFERROR(INDEX(Tenants!$B$6:$B$35,MATCH(B389,Tenants!$A$6:$A$35,0)),"Unit not found"))</f>
        <v/>
      </c>
      <c r="D389" s="48" t="str">
        <f>IF(B389="","",IF(J389="Y","(vacant)",IFERROR(INDEX(Tenants!$C$6:$C$35,MATCH(B389,Tenants!$A$6:$A$35,0)),"")))</f>
        <v/>
      </c>
      <c r="E389" s="56"/>
      <c r="F389" s="56"/>
      <c r="G389" s="56"/>
      <c r="H389" s="50"/>
      <c r="I389" s="47"/>
      <c r="J389" s="47"/>
      <c r="K389" s="48" t="str">
        <f ca="1">IF(B389="","",IF(UPPER(J389)="Y","Vacant",IF(AND(G389&gt;0,G389&gt;=E389+F389),IF(AND(H389&lt;&gt;"",A389&lt;&gt;"",H389&gt;A389+Settings!$C$7),"Paid late","Paid"),IF(G389&gt;0,"Partial",IF(AND(A389&lt;&gt;"",TODAY()&gt;A389+Settings!$C$7),"Unpaid","Due")))))</f>
        <v/>
      </c>
      <c r="L389" s="52" t="str">
        <f t="shared" si="25"/>
        <v/>
      </c>
      <c r="M389" s="47"/>
      <c r="N389" s="48" t="str">
        <f t="shared" si="26"/>
        <v/>
      </c>
      <c r="O389" s="48" t="str">
        <f>IF(B389="","",COUNTIF($B$7:B389,B389))</f>
        <v/>
      </c>
      <c r="P389" s="48" t="str">
        <f t="shared" si="27"/>
        <v/>
      </c>
      <c r="Q389" s="48" t="str">
        <f t="shared" si="28"/>
        <v/>
      </c>
      <c r="R389" s="48" t="str">
        <f t="shared" si="29"/>
        <v/>
      </c>
    </row>
    <row r="390" spans="1:18" ht="16" x14ac:dyDescent="0.2">
      <c r="A390" s="50"/>
      <c r="B390" s="47"/>
      <c r="C390" s="48" t="str">
        <f>IF(B390="","",IFERROR(INDEX(Tenants!$B$6:$B$35,MATCH(B390,Tenants!$A$6:$A$35,0)),"Unit not found"))</f>
        <v/>
      </c>
      <c r="D390" s="48" t="str">
        <f>IF(B390="","",IF(J390="Y","(vacant)",IFERROR(INDEX(Tenants!$C$6:$C$35,MATCH(B390,Tenants!$A$6:$A$35,0)),"")))</f>
        <v/>
      </c>
      <c r="E390" s="56"/>
      <c r="F390" s="56"/>
      <c r="G390" s="56"/>
      <c r="H390" s="50"/>
      <c r="I390" s="47"/>
      <c r="J390" s="47"/>
      <c r="K390" s="48" t="str">
        <f ca="1">IF(B390="","",IF(UPPER(J390)="Y","Vacant",IF(AND(G390&gt;0,G390&gt;=E390+F390),IF(AND(H390&lt;&gt;"",A390&lt;&gt;"",H390&gt;A390+Settings!$C$7),"Paid late","Paid"),IF(G390&gt;0,"Partial",IF(AND(A390&lt;&gt;"",TODAY()&gt;A390+Settings!$C$7),"Unpaid","Due")))))</f>
        <v/>
      </c>
      <c r="L390" s="52" t="str">
        <f t="shared" si="25"/>
        <v/>
      </c>
      <c r="M390" s="47"/>
      <c r="N390" s="48" t="str">
        <f t="shared" si="26"/>
        <v/>
      </c>
      <c r="O390" s="48" t="str">
        <f>IF(B390="","",COUNTIF($B$7:B390,B390))</f>
        <v/>
      </c>
      <c r="P390" s="48" t="str">
        <f t="shared" si="27"/>
        <v/>
      </c>
      <c r="Q390" s="48" t="str">
        <f t="shared" si="28"/>
        <v/>
      </c>
      <c r="R390" s="48" t="str">
        <f t="shared" si="29"/>
        <v/>
      </c>
    </row>
    <row r="391" spans="1:18" ht="16" x14ac:dyDescent="0.2">
      <c r="A391" s="50"/>
      <c r="B391" s="47"/>
      <c r="C391" s="48" t="str">
        <f>IF(B391="","",IFERROR(INDEX(Tenants!$B$6:$B$35,MATCH(B391,Tenants!$A$6:$A$35,0)),"Unit not found"))</f>
        <v/>
      </c>
      <c r="D391" s="48" t="str">
        <f>IF(B391="","",IF(J391="Y","(vacant)",IFERROR(INDEX(Tenants!$C$6:$C$35,MATCH(B391,Tenants!$A$6:$A$35,0)),"")))</f>
        <v/>
      </c>
      <c r="E391" s="56"/>
      <c r="F391" s="56"/>
      <c r="G391" s="56"/>
      <c r="H391" s="50"/>
      <c r="I391" s="47"/>
      <c r="J391" s="47"/>
      <c r="K391" s="48" t="str">
        <f ca="1">IF(B391="","",IF(UPPER(J391)="Y","Vacant",IF(AND(G391&gt;0,G391&gt;=E391+F391),IF(AND(H391&lt;&gt;"",A391&lt;&gt;"",H391&gt;A391+Settings!$C$7),"Paid late","Paid"),IF(G391&gt;0,"Partial",IF(AND(A391&lt;&gt;"",TODAY()&gt;A391+Settings!$C$7),"Unpaid","Due")))))</f>
        <v/>
      </c>
      <c r="L391" s="52" t="str">
        <f t="shared" ref="L391:L454" si="30">IF(OR(B391="",UPPER(J391)="Y"),"",E391+F391-G391)</f>
        <v/>
      </c>
      <c r="M391" s="47"/>
      <c r="N391" s="48" t="str">
        <f t="shared" ref="N391:N454" si="31">IF(OR(B391="",G391=0,G391=""),"",YEAR(IF(H391="",A391,H391)))</f>
        <v/>
      </c>
      <c r="O391" s="48" t="str">
        <f>IF(B391="","",COUNTIF($B$7:B391,B391))</f>
        <v/>
      </c>
      <c r="P391" s="48" t="str">
        <f t="shared" ref="P391:P454" si="32">IF(B391="","",B391&amp;"|"&amp;O391)</f>
        <v/>
      </c>
      <c r="Q391" s="48" t="str">
        <f t="shared" ref="Q391:Q454" si="33">IF(OR(B391="",G391=0,G391=""),"",YEAR(IF(H391="",A391,H391))*100+MONTH(IF(H391="",A391,H391)))</f>
        <v/>
      </c>
      <c r="R391" s="48" t="str">
        <f t="shared" ref="R391:R454" si="34">IF(OR(B391="",A391=""),"",YEAR(A391))</f>
        <v/>
      </c>
    </row>
    <row r="392" spans="1:18" ht="16" x14ac:dyDescent="0.2">
      <c r="A392" s="50"/>
      <c r="B392" s="47"/>
      <c r="C392" s="48" t="str">
        <f>IF(B392="","",IFERROR(INDEX(Tenants!$B$6:$B$35,MATCH(B392,Tenants!$A$6:$A$35,0)),"Unit not found"))</f>
        <v/>
      </c>
      <c r="D392" s="48" t="str">
        <f>IF(B392="","",IF(J392="Y","(vacant)",IFERROR(INDEX(Tenants!$C$6:$C$35,MATCH(B392,Tenants!$A$6:$A$35,0)),"")))</f>
        <v/>
      </c>
      <c r="E392" s="56"/>
      <c r="F392" s="56"/>
      <c r="G392" s="56"/>
      <c r="H392" s="50"/>
      <c r="I392" s="47"/>
      <c r="J392" s="47"/>
      <c r="K392" s="48" t="str">
        <f ca="1">IF(B392="","",IF(UPPER(J392)="Y","Vacant",IF(AND(G392&gt;0,G392&gt;=E392+F392),IF(AND(H392&lt;&gt;"",A392&lt;&gt;"",H392&gt;A392+Settings!$C$7),"Paid late","Paid"),IF(G392&gt;0,"Partial",IF(AND(A392&lt;&gt;"",TODAY()&gt;A392+Settings!$C$7),"Unpaid","Due")))))</f>
        <v/>
      </c>
      <c r="L392" s="52" t="str">
        <f t="shared" si="30"/>
        <v/>
      </c>
      <c r="M392" s="47"/>
      <c r="N392" s="48" t="str">
        <f t="shared" si="31"/>
        <v/>
      </c>
      <c r="O392" s="48" t="str">
        <f>IF(B392="","",COUNTIF($B$7:B392,B392))</f>
        <v/>
      </c>
      <c r="P392" s="48" t="str">
        <f t="shared" si="32"/>
        <v/>
      </c>
      <c r="Q392" s="48" t="str">
        <f t="shared" si="33"/>
        <v/>
      </c>
      <c r="R392" s="48" t="str">
        <f t="shared" si="34"/>
        <v/>
      </c>
    </row>
    <row r="393" spans="1:18" ht="16" x14ac:dyDescent="0.2">
      <c r="A393" s="50"/>
      <c r="B393" s="47"/>
      <c r="C393" s="48" t="str">
        <f>IF(B393="","",IFERROR(INDEX(Tenants!$B$6:$B$35,MATCH(B393,Tenants!$A$6:$A$35,0)),"Unit not found"))</f>
        <v/>
      </c>
      <c r="D393" s="48" t="str">
        <f>IF(B393="","",IF(J393="Y","(vacant)",IFERROR(INDEX(Tenants!$C$6:$C$35,MATCH(B393,Tenants!$A$6:$A$35,0)),"")))</f>
        <v/>
      </c>
      <c r="E393" s="56"/>
      <c r="F393" s="56"/>
      <c r="G393" s="56"/>
      <c r="H393" s="50"/>
      <c r="I393" s="47"/>
      <c r="J393" s="47"/>
      <c r="K393" s="48" t="str">
        <f ca="1">IF(B393="","",IF(UPPER(J393)="Y","Vacant",IF(AND(G393&gt;0,G393&gt;=E393+F393),IF(AND(H393&lt;&gt;"",A393&lt;&gt;"",H393&gt;A393+Settings!$C$7),"Paid late","Paid"),IF(G393&gt;0,"Partial",IF(AND(A393&lt;&gt;"",TODAY()&gt;A393+Settings!$C$7),"Unpaid","Due")))))</f>
        <v/>
      </c>
      <c r="L393" s="52" t="str">
        <f t="shared" si="30"/>
        <v/>
      </c>
      <c r="M393" s="47"/>
      <c r="N393" s="48" t="str">
        <f t="shared" si="31"/>
        <v/>
      </c>
      <c r="O393" s="48" t="str">
        <f>IF(B393="","",COUNTIF($B$7:B393,B393))</f>
        <v/>
      </c>
      <c r="P393" s="48" t="str">
        <f t="shared" si="32"/>
        <v/>
      </c>
      <c r="Q393" s="48" t="str">
        <f t="shared" si="33"/>
        <v/>
      </c>
      <c r="R393" s="48" t="str">
        <f t="shared" si="34"/>
        <v/>
      </c>
    </row>
    <row r="394" spans="1:18" ht="16" x14ac:dyDescent="0.2">
      <c r="A394" s="50"/>
      <c r="B394" s="47"/>
      <c r="C394" s="48" t="str">
        <f>IF(B394="","",IFERROR(INDEX(Tenants!$B$6:$B$35,MATCH(B394,Tenants!$A$6:$A$35,0)),"Unit not found"))</f>
        <v/>
      </c>
      <c r="D394" s="48" t="str">
        <f>IF(B394="","",IF(J394="Y","(vacant)",IFERROR(INDEX(Tenants!$C$6:$C$35,MATCH(B394,Tenants!$A$6:$A$35,0)),"")))</f>
        <v/>
      </c>
      <c r="E394" s="56"/>
      <c r="F394" s="56"/>
      <c r="G394" s="56"/>
      <c r="H394" s="50"/>
      <c r="I394" s="47"/>
      <c r="J394" s="47"/>
      <c r="K394" s="48" t="str">
        <f ca="1">IF(B394="","",IF(UPPER(J394)="Y","Vacant",IF(AND(G394&gt;0,G394&gt;=E394+F394),IF(AND(H394&lt;&gt;"",A394&lt;&gt;"",H394&gt;A394+Settings!$C$7),"Paid late","Paid"),IF(G394&gt;0,"Partial",IF(AND(A394&lt;&gt;"",TODAY()&gt;A394+Settings!$C$7),"Unpaid","Due")))))</f>
        <v/>
      </c>
      <c r="L394" s="52" t="str">
        <f t="shared" si="30"/>
        <v/>
      </c>
      <c r="M394" s="47"/>
      <c r="N394" s="48" t="str">
        <f t="shared" si="31"/>
        <v/>
      </c>
      <c r="O394" s="48" t="str">
        <f>IF(B394="","",COUNTIF($B$7:B394,B394))</f>
        <v/>
      </c>
      <c r="P394" s="48" t="str">
        <f t="shared" si="32"/>
        <v/>
      </c>
      <c r="Q394" s="48" t="str">
        <f t="shared" si="33"/>
        <v/>
      </c>
      <c r="R394" s="48" t="str">
        <f t="shared" si="34"/>
        <v/>
      </c>
    </row>
    <row r="395" spans="1:18" ht="16" x14ac:dyDescent="0.2">
      <c r="A395" s="50"/>
      <c r="B395" s="47"/>
      <c r="C395" s="48" t="str">
        <f>IF(B395="","",IFERROR(INDEX(Tenants!$B$6:$B$35,MATCH(B395,Tenants!$A$6:$A$35,0)),"Unit not found"))</f>
        <v/>
      </c>
      <c r="D395" s="48" t="str">
        <f>IF(B395="","",IF(J395="Y","(vacant)",IFERROR(INDEX(Tenants!$C$6:$C$35,MATCH(B395,Tenants!$A$6:$A$35,0)),"")))</f>
        <v/>
      </c>
      <c r="E395" s="56"/>
      <c r="F395" s="56"/>
      <c r="G395" s="56"/>
      <c r="H395" s="50"/>
      <c r="I395" s="47"/>
      <c r="J395" s="47"/>
      <c r="K395" s="48" t="str">
        <f ca="1">IF(B395="","",IF(UPPER(J395)="Y","Vacant",IF(AND(G395&gt;0,G395&gt;=E395+F395),IF(AND(H395&lt;&gt;"",A395&lt;&gt;"",H395&gt;A395+Settings!$C$7),"Paid late","Paid"),IF(G395&gt;0,"Partial",IF(AND(A395&lt;&gt;"",TODAY()&gt;A395+Settings!$C$7),"Unpaid","Due")))))</f>
        <v/>
      </c>
      <c r="L395" s="52" t="str">
        <f t="shared" si="30"/>
        <v/>
      </c>
      <c r="M395" s="47"/>
      <c r="N395" s="48" t="str">
        <f t="shared" si="31"/>
        <v/>
      </c>
      <c r="O395" s="48" t="str">
        <f>IF(B395="","",COUNTIF($B$7:B395,B395))</f>
        <v/>
      </c>
      <c r="P395" s="48" t="str">
        <f t="shared" si="32"/>
        <v/>
      </c>
      <c r="Q395" s="48" t="str">
        <f t="shared" si="33"/>
        <v/>
      </c>
      <c r="R395" s="48" t="str">
        <f t="shared" si="34"/>
        <v/>
      </c>
    </row>
    <row r="396" spans="1:18" ht="16" x14ac:dyDescent="0.2">
      <c r="A396" s="50"/>
      <c r="B396" s="47"/>
      <c r="C396" s="48" t="str">
        <f>IF(B396="","",IFERROR(INDEX(Tenants!$B$6:$B$35,MATCH(B396,Tenants!$A$6:$A$35,0)),"Unit not found"))</f>
        <v/>
      </c>
      <c r="D396" s="48" t="str">
        <f>IF(B396="","",IF(J396="Y","(vacant)",IFERROR(INDEX(Tenants!$C$6:$C$35,MATCH(B396,Tenants!$A$6:$A$35,0)),"")))</f>
        <v/>
      </c>
      <c r="E396" s="56"/>
      <c r="F396" s="56"/>
      <c r="G396" s="56"/>
      <c r="H396" s="50"/>
      <c r="I396" s="47"/>
      <c r="J396" s="47"/>
      <c r="K396" s="48" t="str">
        <f ca="1">IF(B396="","",IF(UPPER(J396)="Y","Vacant",IF(AND(G396&gt;0,G396&gt;=E396+F396),IF(AND(H396&lt;&gt;"",A396&lt;&gt;"",H396&gt;A396+Settings!$C$7),"Paid late","Paid"),IF(G396&gt;0,"Partial",IF(AND(A396&lt;&gt;"",TODAY()&gt;A396+Settings!$C$7),"Unpaid","Due")))))</f>
        <v/>
      </c>
      <c r="L396" s="52" t="str">
        <f t="shared" si="30"/>
        <v/>
      </c>
      <c r="M396" s="47"/>
      <c r="N396" s="48" t="str">
        <f t="shared" si="31"/>
        <v/>
      </c>
      <c r="O396" s="48" t="str">
        <f>IF(B396="","",COUNTIF($B$7:B396,B396))</f>
        <v/>
      </c>
      <c r="P396" s="48" t="str">
        <f t="shared" si="32"/>
        <v/>
      </c>
      <c r="Q396" s="48" t="str">
        <f t="shared" si="33"/>
        <v/>
      </c>
      <c r="R396" s="48" t="str">
        <f t="shared" si="34"/>
        <v/>
      </c>
    </row>
    <row r="397" spans="1:18" ht="16" x14ac:dyDescent="0.2">
      <c r="A397" s="50"/>
      <c r="B397" s="47"/>
      <c r="C397" s="48" t="str">
        <f>IF(B397="","",IFERROR(INDEX(Tenants!$B$6:$B$35,MATCH(B397,Tenants!$A$6:$A$35,0)),"Unit not found"))</f>
        <v/>
      </c>
      <c r="D397" s="48" t="str">
        <f>IF(B397="","",IF(J397="Y","(vacant)",IFERROR(INDEX(Tenants!$C$6:$C$35,MATCH(B397,Tenants!$A$6:$A$35,0)),"")))</f>
        <v/>
      </c>
      <c r="E397" s="56"/>
      <c r="F397" s="56"/>
      <c r="G397" s="56"/>
      <c r="H397" s="50"/>
      <c r="I397" s="47"/>
      <c r="J397" s="47"/>
      <c r="K397" s="48" t="str">
        <f ca="1">IF(B397="","",IF(UPPER(J397)="Y","Vacant",IF(AND(G397&gt;0,G397&gt;=E397+F397),IF(AND(H397&lt;&gt;"",A397&lt;&gt;"",H397&gt;A397+Settings!$C$7),"Paid late","Paid"),IF(G397&gt;0,"Partial",IF(AND(A397&lt;&gt;"",TODAY()&gt;A397+Settings!$C$7),"Unpaid","Due")))))</f>
        <v/>
      </c>
      <c r="L397" s="52" t="str">
        <f t="shared" si="30"/>
        <v/>
      </c>
      <c r="M397" s="47"/>
      <c r="N397" s="48" t="str">
        <f t="shared" si="31"/>
        <v/>
      </c>
      <c r="O397" s="48" t="str">
        <f>IF(B397="","",COUNTIF($B$7:B397,B397))</f>
        <v/>
      </c>
      <c r="P397" s="48" t="str">
        <f t="shared" si="32"/>
        <v/>
      </c>
      <c r="Q397" s="48" t="str">
        <f t="shared" si="33"/>
        <v/>
      </c>
      <c r="R397" s="48" t="str">
        <f t="shared" si="34"/>
        <v/>
      </c>
    </row>
    <row r="398" spans="1:18" ht="16" x14ac:dyDescent="0.2">
      <c r="A398" s="50"/>
      <c r="B398" s="47"/>
      <c r="C398" s="48" t="str">
        <f>IF(B398="","",IFERROR(INDEX(Tenants!$B$6:$B$35,MATCH(B398,Tenants!$A$6:$A$35,0)),"Unit not found"))</f>
        <v/>
      </c>
      <c r="D398" s="48" t="str">
        <f>IF(B398="","",IF(J398="Y","(vacant)",IFERROR(INDEX(Tenants!$C$6:$C$35,MATCH(B398,Tenants!$A$6:$A$35,0)),"")))</f>
        <v/>
      </c>
      <c r="E398" s="56"/>
      <c r="F398" s="56"/>
      <c r="G398" s="56"/>
      <c r="H398" s="50"/>
      <c r="I398" s="47"/>
      <c r="J398" s="47"/>
      <c r="K398" s="48" t="str">
        <f ca="1">IF(B398="","",IF(UPPER(J398)="Y","Vacant",IF(AND(G398&gt;0,G398&gt;=E398+F398),IF(AND(H398&lt;&gt;"",A398&lt;&gt;"",H398&gt;A398+Settings!$C$7),"Paid late","Paid"),IF(G398&gt;0,"Partial",IF(AND(A398&lt;&gt;"",TODAY()&gt;A398+Settings!$C$7),"Unpaid","Due")))))</f>
        <v/>
      </c>
      <c r="L398" s="52" t="str">
        <f t="shared" si="30"/>
        <v/>
      </c>
      <c r="M398" s="47"/>
      <c r="N398" s="48" t="str">
        <f t="shared" si="31"/>
        <v/>
      </c>
      <c r="O398" s="48" t="str">
        <f>IF(B398="","",COUNTIF($B$7:B398,B398))</f>
        <v/>
      </c>
      <c r="P398" s="48" t="str">
        <f t="shared" si="32"/>
        <v/>
      </c>
      <c r="Q398" s="48" t="str">
        <f t="shared" si="33"/>
        <v/>
      </c>
      <c r="R398" s="48" t="str">
        <f t="shared" si="34"/>
        <v/>
      </c>
    </row>
    <row r="399" spans="1:18" ht="16" x14ac:dyDescent="0.2">
      <c r="A399" s="50"/>
      <c r="B399" s="47"/>
      <c r="C399" s="48" t="str">
        <f>IF(B399="","",IFERROR(INDEX(Tenants!$B$6:$B$35,MATCH(B399,Tenants!$A$6:$A$35,0)),"Unit not found"))</f>
        <v/>
      </c>
      <c r="D399" s="48" t="str">
        <f>IF(B399="","",IF(J399="Y","(vacant)",IFERROR(INDEX(Tenants!$C$6:$C$35,MATCH(B399,Tenants!$A$6:$A$35,0)),"")))</f>
        <v/>
      </c>
      <c r="E399" s="56"/>
      <c r="F399" s="56"/>
      <c r="G399" s="56"/>
      <c r="H399" s="50"/>
      <c r="I399" s="47"/>
      <c r="J399" s="47"/>
      <c r="K399" s="48" t="str">
        <f ca="1">IF(B399="","",IF(UPPER(J399)="Y","Vacant",IF(AND(G399&gt;0,G399&gt;=E399+F399),IF(AND(H399&lt;&gt;"",A399&lt;&gt;"",H399&gt;A399+Settings!$C$7),"Paid late","Paid"),IF(G399&gt;0,"Partial",IF(AND(A399&lt;&gt;"",TODAY()&gt;A399+Settings!$C$7),"Unpaid","Due")))))</f>
        <v/>
      </c>
      <c r="L399" s="52" t="str">
        <f t="shared" si="30"/>
        <v/>
      </c>
      <c r="M399" s="47"/>
      <c r="N399" s="48" t="str">
        <f t="shared" si="31"/>
        <v/>
      </c>
      <c r="O399" s="48" t="str">
        <f>IF(B399="","",COUNTIF($B$7:B399,B399))</f>
        <v/>
      </c>
      <c r="P399" s="48" t="str">
        <f t="shared" si="32"/>
        <v/>
      </c>
      <c r="Q399" s="48" t="str">
        <f t="shared" si="33"/>
        <v/>
      </c>
      <c r="R399" s="48" t="str">
        <f t="shared" si="34"/>
        <v/>
      </c>
    </row>
    <row r="400" spans="1:18" ht="16" x14ac:dyDescent="0.2">
      <c r="A400" s="50"/>
      <c r="B400" s="47"/>
      <c r="C400" s="48" t="str">
        <f>IF(B400="","",IFERROR(INDEX(Tenants!$B$6:$B$35,MATCH(B400,Tenants!$A$6:$A$35,0)),"Unit not found"))</f>
        <v/>
      </c>
      <c r="D400" s="48" t="str">
        <f>IF(B400="","",IF(J400="Y","(vacant)",IFERROR(INDEX(Tenants!$C$6:$C$35,MATCH(B400,Tenants!$A$6:$A$35,0)),"")))</f>
        <v/>
      </c>
      <c r="E400" s="56"/>
      <c r="F400" s="56"/>
      <c r="G400" s="56"/>
      <c r="H400" s="50"/>
      <c r="I400" s="47"/>
      <c r="J400" s="47"/>
      <c r="K400" s="48" t="str">
        <f ca="1">IF(B400="","",IF(UPPER(J400)="Y","Vacant",IF(AND(G400&gt;0,G400&gt;=E400+F400),IF(AND(H400&lt;&gt;"",A400&lt;&gt;"",H400&gt;A400+Settings!$C$7),"Paid late","Paid"),IF(G400&gt;0,"Partial",IF(AND(A400&lt;&gt;"",TODAY()&gt;A400+Settings!$C$7),"Unpaid","Due")))))</f>
        <v/>
      </c>
      <c r="L400" s="52" t="str">
        <f t="shared" si="30"/>
        <v/>
      </c>
      <c r="M400" s="47"/>
      <c r="N400" s="48" t="str">
        <f t="shared" si="31"/>
        <v/>
      </c>
      <c r="O400" s="48" t="str">
        <f>IF(B400="","",COUNTIF($B$7:B400,B400))</f>
        <v/>
      </c>
      <c r="P400" s="48" t="str">
        <f t="shared" si="32"/>
        <v/>
      </c>
      <c r="Q400" s="48" t="str">
        <f t="shared" si="33"/>
        <v/>
      </c>
      <c r="R400" s="48" t="str">
        <f t="shared" si="34"/>
        <v/>
      </c>
    </row>
    <row r="401" spans="1:18" ht="16" x14ac:dyDescent="0.2">
      <c r="A401" s="50"/>
      <c r="B401" s="47"/>
      <c r="C401" s="48" t="str">
        <f>IF(B401="","",IFERROR(INDEX(Tenants!$B$6:$B$35,MATCH(B401,Tenants!$A$6:$A$35,0)),"Unit not found"))</f>
        <v/>
      </c>
      <c r="D401" s="48" t="str">
        <f>IF(B401="","",IF(J401="Y","(vacant)",IFERROR(INDEX(Tenants!$C$6:$C$35,MATCH(B401,Tenants!$A$6:$A$35,0)),"")))</f>
        <v/>
      </c>
      <c r="E401" s="56"/>
      <c r="F401" s="56"/>
      <c r="G401" s="56"/>
      <c r="H401" s="50"/>
      <c r="I401" s="47"/>
      <c r="J401" s="47"/>
      <c r="K401" s="48" t="str">
        <f ca="1">IF(B401="","",IF(UPPER(J401)="Y","Vacant",IF(AND(G401&gt;0,G401&gt;=E401+F401),IF(AND(H401&lt;&gt;"",A401&lt;&gt;"",H401&gt;A401+Settings!$C$7),"Paid late","Paid"),IF(G401&gt;0,"Partial",IF(AND(A401&lt;&gt;"",TODAY()&gt;A401+Settings!$C$7),"Unpaid","Due")))))</f>
        <v/>
      </c>
      <c r="L401" s="52" t="str">
        <f t="shared" si="30"/>
        <v/>
      </c>
      <c r="M401" s="47"/>
      <c r="N401" s="48" t="str">
        <f t="shared" si="31"/>
        <v/>
      </c>
      <c r="O401" s="48" t="str">
        <f>IF(B401="","",COUNTIF($B$7:B401,B401))</f>
        <v/>
      </c>
      <c r="P401" s="48" t="str">
        <f t="shared" si="32"/>
        <v/>
      </c>
      <c r="Q401" s="48" t="str">
        <f t="shared" si="33"/>
        <v/>
      </c>
      <c r="R401" s="48" t="str">
        <f t="shared" si="34"/>
        <v/>
      </c>
    </row>
    <row r="402" spans="1:18" ht="16" x14ac:dyDescent="0.2">
      <c r="A402" s="50"/>
      <c r="B402" s="47"/>
      <c r="C402" s="48" t="str">
        <f>IF(B402="","",IFERROR(INDEX(Tenants!$B$6:$B$35,MATCH(B402,Tenants!$A$6:$A$35,0)),"Unit not found"))</f>
        <v/>
      </c>
      <c r="D402" s="48" t="str">
        <f>IF(B402="","",IF(J402="Y","(vacant)",IFERROR(INDEX(Tenants!$C$6:$C$35,MATCH(B402,Tenants!$A$6:$A$35,0)),"")))</f>
        <v/>
      </c>
      <c r="E402" s="56"/>
      <c r="F402" s="56"/>
      <c r="G402" s="56"/>
      <c r="H402" s="50"/>
      <c r="I402" s="47"/>
      <c r="J402" s="47"/>
      <c r="K402" s="48" t="str">
        <f ca="1">IF(B402="","",IF(UPPER(J402)="Y","Vacant",IF(AND(G402&gt;0,G402&gt;=E402+F402),IF(AND(H402&lt;&gt;"",A402&lt;&gt;"",H402&gt;A402+Settings!$C$7),"Paid late","Paid"),IF(G402&gt;0,"Partial",IF(AND(A402&lt;&gt;"",TODAY()&gt;A402+Settings!$C$7),"Unpaid","Due")))))</f>
        <v/>
      </c>
      <c r="L402" s="52" t="str">
        <f t="shared" si="30"/>
        <v/>
      </c>
      <c r="M402" s="47"/>
      <c r="N402" s="48" t="str">
        <f t="shared" si="31"/>
        <v/>
      </c>
      <c r="O402" s="48" t="str">
        <f>IF(B402="","",COUNTIF($B$7:B402,B402))</f>
        <v/>
      </c>
      <c r="P402" s="48" t="str">
        <f t="shared" si="32"/>
        <v/>
      </c>
      <c r="Q402" s="48" t="str">
        <f t="shared" si="33"/>
        <v/>
      </c>
      <c r="R402" s="48" t="str">
        <f t="shared" si="34"/>
        <v/>
      </c>
    </row>
    <row r="403" spans="1:18" ht="16" x14ac:dyDescent="0.2">
      <c r="A403" s="50"/>
      <c r="B403" s="47"/>
      <c r="C403" s="48" t="str">
        <f>IF(B403="","",IFERROR(INDEX(Tenants!$B$6:$B$35,MATCH(B403,Tenants!$A$6:$A$35,0)),"Unit not found"))</f>
        <v/>
      </c>
      <c r="D403" s="48" t="str">
        <f>IF(B403="","",IF(J403="Y","(vacant)",IFERROR(INDEX(Tenants!$C$6:$C$35,MATCH(B403,Tenants!$A$6:$A$35,0)),"")))</f>
        <v/>
      </c>
      <c r="E403" s="56"/>
      <c r="F403" s="56"/>
      <c r="G403" s="56"/>
      <c r="H403" s="50"/>
      <c r="I403" s="47"/>
      <c r="J403" s="47"/>
      <c r="K403" s="48" t="str">
        <f ca="1">IF(B403="","",IF(UPPER(J403)="Y","Vacant",IF(AND(G403&gt;0,G403&gt;=E403+F403),IF(AND(H403&lt;&gt;"",A403&lt;&gt;"",H403&gt;A403+Settings!$C$7),"Paid late","Paid"),IF(G403&gt;0,"Partial",IF(AND(A403&lt;&gt;"",TODAY()&gt;A403+Settings!$C$7),"Unpaid","Due")))))</f>
        <v/>
      </c>
      <c r="L403" s="52" t="str">
        <f t="shared" si="30"/>
        <v/>
      </c>
      <c r="M403" s="47"/>
      <c r="N403" s="48" t="str">
        <f t="shared" si="31"/>
        <v/>
      </c>
      <c r="O403" s="48" t="str">
        <f>IF(B403="","",COUNTIF($B$7:B403,B403))</f>
        <v/>
      </c>
      <c r="P403" s="48" t="str">
        <f t="shared" si="32"/>
        <v/>
      </c>
      <c r="Q403" s="48" t="str">
        <f t="shared" si="33"/>
        <v/>
      </c>
      <c r="R403" s="48" t="str">
        <f t="shared" si="34"/>
        <v/>
      </c>
    </row>
    <row r="404" spans="1:18" ht="16" x14ac:dyDescent="0.2">
      <c r="A404" s="50"/>
      <c r="B404" s="47"/>
      <c r="C404" s="48" t="str">
        <f>IF(B404="","",IFERROR(INDEX(Tenants!$B$6:$B$35,MATCH(B404,Tenants!$A$6:$A$35,0)),"Unit not found"))</f>
        <v/>
      </c>
      <c r="D404" s="48" t="str">
        <f>IF(B404="","",IF(J404="Y","(vacant)",IFERROR(INDEX(Tenants!$C$6:$C$35,MATCH(B404,Tenants!$A$6:$A$35,0)),"")))</f>
        <v/>
      </c>
      <c r="E404" s="56"/>
      <c r="F404" s="56"/>
      <c r="G404" s="56"/>
      <c r="H404" s="50"/>
      <c r="I404" s="47"/>
      <c r="J404" s="47"/>
      <c r="K404" s="48" t="str">
        <f ca="1">IF(B404="","",IF(UPPER(J404)="Y","Vacant",IF(AND(G404&gt;0,G404&gt;=E404+F404),IF(AND(H404&lt;&gt;"",A404&lt;&gt;"",H404&gt;A404+Settings!$C$7),"Paid late","Paid"),IF(G404&gt;0,"Partial",IF(AND(A404&lt;&gt;"",TODAY()&gt;A404+Settings!$C$7),"Unpaid","Due")))))</f>
        <v/>
      </c>
      <c r="L404" s="52" t="str">
        <f t="shared" si="30"/>
        <v/>
      </c>
      <c r="M404" s="47"/>
      <c r="N404" s="48" t="str">
        <f t="shared" si="31"/>
        <v/>
      </c>
      <c r="O404" s="48" t="str">
        <f>IF(B404="","",COUNTIF($B$7:B404,B404))</f>
        <v/>
      </c>
      <c r="P404" s="48" t="str">
        <f t="shared" si="32"/>
        <v/>
      </c>
      <c r="Q404" s="48" t="str">
        <f t="shared" si="33"/>
        <v/>
      </c>
      <c r="R404" s="48" t="str">
        <f t="shared" si="34"/>
        <v/>
      </c>
    </row>
    <row r="405" spans="1:18" ht="16" x14ac:dyDescent="0.2">
      <c r="A405" s="50"/>
      <c r="B405" s="47"/>
      <c r="C405" s="48" t="str">
        <f>IF(B405="","",IFERROR(INDEX(Tenants!$B$6:$B$35,MATCH(B405,Tenants!$A$6:$A$35,0)),"Unit not found"))</f>
        <v/>
      </c>
      <c r="D405" s="48" t="str">
        <f>IF(B405="","",IF(J405="Y","(vacant)",IFERROR(INDEX(Tenants!$C$6:$C$35,MATCH(B405,Tenants!$A$6:$A$35,0)),"")))</f>
        <v/>
      </c>
      <c r="E405" s="56"/>
      <c r="F405" s="56"/>
      <c r="G405" s="56"/>
      <c r="H405" s="50"/>
      <c r="I405" s="47"/>
      <c r="J405" s="47"/>
      <c r="K405" s="48" t="str">
        <f ca="1">IF(B405="","",IF(UPPER(J405)="Y","Vacant",IF(AND(G405&gt;0,G405&gt;=E405+F405),IF(AND(H405&lt;&gt;"",A405&lt;&gt;"",H405&gt;A405+Settings!$C$7),"Paid late","Paid"),IF(G405&gt;0,"Partial",IF(AND(A405&lt;&gt;"",TODAY()&gt;A405+Settings!$C$7),"Unpaid","Due")))))</f>
        <v/>
      </c>
      <c r="L405" s="52" t="str">
        <f t="shared" si="30"/>
        <v/>
      </c>
      <c r="M405" s="47"/>
      <c r="N405" s="48" t="str">
        <f t="shared" si="31"/>
        <v/>
      </c>
      <c r="O405" s="48" t="str">
        <f>IF(B405="","",COUNTIF($B$7:B405,B405))</f>
        <v/>
      </c>
      <c r="P405" s="48" t="str">
        <f t="shared" si="32"/>
        <v/>
      </c>
      <c r="Q405" s="48" t="str">
        <f t="shared" si="33"/>
        <v/>
      </c>
      <c r="R405" s="48" t="str">
        <f t="shared" si="34"/>
        <v/>
      </c>
    </row>
    <row r="406" spans="1:18" ht="16" x14ac:dyDescent="0.2">
      <c r="A406" s="50"/>
      <c r="B406" s="47"/>
      <c r="C406" s="48" t="str">
        <f>IF(B406="","",IFERROR(INDEX(Tenants!$B$6:$B$35,MATCH(B406,Tenants!$A$6:$A$35,0)),"Unit not found"))</f>
        <v/>
      </c>
      <c r="D406" s="48" t="str">
        <f>IF(B406="","",IF(J406="Y","(vacant)",IFERROR(INDEX(Tenants!$C$6:$C$35,MATCH(B406,Tenants!$A$6:$A$35,0)),"")))</f>
        <v/>
      </c>
      <c r="E406" s="56"/>
      <c r="F406" s="56"/>
      <c r="G406" s="56"/>
      <c r="H406" s="50"/>
      <c r="I406" s="47"/>
      <c r="J406" s="47"/>
      <c r="K406" s="48" t="str">
        <f ca="1">IF(B406="","",IF(UPPER(J406)="Y","Vacant",IF(AND(G406&gt;0,G406&gt;=E406+F406),IF(AND(H406&lt;&gt;"",A406&lt;&gt;"",H406&gt;A406+Settings!$C$7),"Paid late","Paid"),IF(G406&gt;0,"Partial",IF(AND(A406&lt;&gt;"",TODAY()&gt;A406+Settings!$C$7),"Unpaid","Due")))))</f>
        <v/>
      </c>
      <c r="L406" s="52" t="str">
        <f t="shared" si="30"/>
        <v/>
      </c>
      <c r="M406" s="47"/>
      <c r="N406" s="48" t="str">
        <f t="shared" si="31"/>
        <v/>
      </c>
      <c r="O406" s="48" t="str">
        <f>IF(B406="","",COUNTIF($B$7:B406,B406))</f>
        <v/>
      </c>
      <c r="P406" s="48" t="str">
        <f t="shared" si="32"/>
        <v/>
      </c>
      <c r="Q406" s="48" t="str">
        <f t="shared" si="33"/>
        <v/>
      </c>
      <c r="R406" s="48" t="str">
        <f t="shared" si="34"/>
        <v/>
      </c>
    </row>
    <row r="407" spans="1:18" ht="16" x14ac:dyDescent="0.2">
      <c r="A407" s="50"/>
      <c r="B407" s="47"/>
      <c r="C407" s="48" t="str">
        <f>IF(B407="","",IFERROR(INDEX(Tenants!$B$6:$B$35,MATCH(B407,Tenants!$A$6:$A$35,0)),"Unit not found"))</f>
        <v/>
      </c>
      <c r="D407" s="48" t="str">
        <f>IF(B407="","",IF(J407="Y","(vacant)",IFERROR(INDEX(Tenants!$C$6:$C$35,MATCH(B407,Tenants!$A$6:$A$35,0)),"")))</f>
        <v/>
      </c>
      <c r="E407" s="56"/>
      <c r="F407" s="56"/>
      <c r="G407" s="56"/>
      <c r="H407" s="50"/>
      <c r="I407" s="47"/>
      <c r="J407" s="47"/>
      <c r="K407" s="48" t="str">
        <f ca="1">IF(B407="","",IF(UPPER(J407)="Y","Vacant",IF(AND(G407&gt;0,G407&gt;=E407+F407),IF(AND(H407&lt;&gt;"",A407&lt;&gt;"",H407&gt;A407+Settings!$C$7),"Paid late","Paid"),IF(G407&gt;0,"Partial",IF(AND(A407&lt;&gt;"",TODAY()&gt;A407+Settings!$C$7),"Unpaid","Due")))))</f>
        <v/>
      </c>
      <c r="L407" s="52" t="str">
        <f t="shared" si="30"/>
        <v/>
      </c>
      <c r="M407" s="47"/>
      <c r="N407" s="48" t="str">
        <f t="shared" si="31"/>
        <v/>
      </c>
      <c r="O407" s="48" t="str">
        <f>IF(B407="","",COUNTIF($B$7:B407,B407))</f>
        <v/>
      </c>
      <c r="P407" s="48" t="str">
        <f t="shared" si="32"/>
        <v/>
      </c>
      <c r="Q407" s="48" t="str">
        <f t="shared" si="33"/>
        <v/>
      </c>
      <c r="R407" s="48" t="str">
        <f t="shared" si="34"/>
        <v/>
      </c>
    </row>
    <row r="408" spans="1:18" ht="16" x14ac:dyDescent="0.2">
      <c r="A408" s="50"/>
      <c r="B408" s="47"/>
      <c r="C408" s="48" t="str">
        <f>IF(B408="","",IFERROR(INDEX(Tenants!$B$6:$B$35,MATCH(B408,Tenants!$A$6:$A$35,0)),"Unit not found"))</f>
        <v/>
      </c>
      <c r="D408" s="48" t="str">
        <f>IF(B408="","",IF(J408="Y","(vacant)",IFERROR(INDEX(Tenants!$C$6:$C$35,MATCH(B408,Tenants!$A$6:$A$35,0)),"")))</f>
        <v/>
      </c>
      <c r="E408" s="56"/>
      <c r="F408" s="56"/>
      <c r="G408" s="56"/>
      <c r="H408" s="50"/>
      <c r="I408" s="47"/>
      <c r="J408" s="47"/>
      <c r="K408" s="48" t="str">
        <f ca="1">IF(B408="","",IF(UPPER(J408)="Y","Vacant",IF(AND(G408&gt;0,G408&gt;=E408+F408),IF(AND(H408&lt;&gt;"",A408&lt;&gt;"",H408&gt;A408+Settings!$C$7),"Paid late","Paid"),IF(G408&gt;0,"Partial",IF(AND(A408&lt;&gt;"",TODAY()&gt;A408+Settings!$C$7),"Unpaid","Due")))))</f>
        <v/>
      </c>
      <c r="L408" s="52" t="str">
        <f t="shared" si="30"/>
        <v/>
      </c>
      <c r="M408" s="47"/>
      <c r="N408" s="48" t="str">
        <f t="shared" si="31"/>
        <v/>
      </c>
      <c r="O408" s="48" t="str">
        <f>IF(B408="","",COUNTIF($B$7:B408,B408))</f>
        <v/>
      </c>
      <c r="P408" s="48" t="str">
        <f t="shared" si="32"/>
        <v/>
      </c>
      <c r="Q408" s="48" t="str">
        <f t="shared" si="33"/>
        <v/>
      </c>
      <c r="R408" s="48" t="str">
        <f t="shared" si="34"/>
        <v/>
      </c>
    </row>
    <row r="409" spans="1:18" ht="16" x14ac:dyDescent="0.2">
      <c r="A409" s="50"/>
      <c r="B409" s="47"/>
      <c r="C409" s="48" t="str">
        <f>IF(B409="","",IFERROR(INDEX(Tenants!$B$6:$B$35,MATCH(B409,Tenants!$A$6:$A$35,0)),"Unit not found"))</f>
        <v/>
      </c>
      <c r="D409" s="48" t="str">
        <f>IF(B409="","",IF(J409="Y","(vacant)",IFERROR(INDEX(Tenants!$C$6:$C$35,MATCH(B409,Tenants!$A$6:$A$35,0)),"")))</f>
        <v/>
      </c>
      <c r="E409" s="56"/>
      <c r="F409" s="56"/>
      <c r="G409" s="56"/>
      <c r="H409" s="50"/>
      <c r="I409" s="47"/>
      <c r="J409" s="47"/>
      <c r="K409" s="48" t="str">
        <f ca="1">IF(B409="","",IF(UPPER(J409)="Y","Vacant",IF(AND(G409&gt;0,G409&gt;=E409+F409),IF(AND(H409&lt;&gt;"",A409&lt;&gt;"",H409&gt;A409+Settings!$C$7),"Paid late","Paid"),IF(G409&gt;0,"Partial",IF(AND(A409&lt;&gt;"",TODAY()&gt;A409+Settings!$C$7),"Unpaid","Due")))))</f>
        <v/>
      </c>
      <c r="L409" s="52" t="str">
        <f t="shared" si="30"/>
        <v/>
      </c>
      <c r="M409" s="47"/>
      <c r="N409" s="48" t="str">
        <f t="shared" si="31"/>
        <v/>
      </c>
      <c r="O409" s="48" t="str">
        <f>IF(B409="","",COUNTIF($B$7:B409,B409))</f>
        <v/>
      </c>
      <c r="P409" s="48" t="str">
        <f t="shared" si="32"/>
        <v/>
      </c>
      <c r="Q409" s="48" t="str">
        <f t="shared" si="33"/>
        <v/>
      </c>
      <c r="R409" s="48" t="str">
        <f t="shared" si="34"/>
        <v/>
      </c>
    </row>
    <row r="410" spans="1:18" ht="16" x14ac:dyDescent="0.2">
      <c r="A410" s="50"/>
      <c r="B410" s="47"/>
      <c r="C410" s="48" t="str">
        <f>IF(B410="","",IFERROR(INDEX(Tenants!$B$6:$B$35,MATCH(B410,Tenants!$A$6:$A$35,0)),"Unit not found"))</f>
        <v/>
      </c>
      <c r="D410" s="48" t="str">
        <f>IF(B410="","",IF(J410="Y","(vacant)",IFERROR(INDEX(Tenants!$C$6:$C$35,MATCH(B410,Tenants!$A$6:$A$35,0)),"")))</f>
        <v/>
      </c>
      <c r="E410" s="56"/>
      <c r="F410" s="56"/>
      <c r="G410" s="56"/>
      <c r="H410" s="50"/>
      <c r="I410" s="47"/>
      <c r="J410" s="47"/>
      <c r="K410" s="48" t="str">
        <f ca="1">IF(B410="","",IF(UPPER(J410)="Y","Vacant",IF(AND(G410&gt;0,G410&gt;=E410+F410),IF(AND(H410&lt;&gt;"",A410&lt;&gt;"",H410&gt;A410+Settings!$C$7),"Paid late","Paid"),IF(G410&gt;0,"Partial",IF(AND(A410&lt;&gt;"",TODAY()&gt;A410+Settings!$C$7),"Unpaid","Due")))))</f>
        <v/>
      </c>
      <c r="L410" s="52" t="str">
        <f t="shared" si="30"/>
        <v/>
      </c>
      <c r="M410" s="47"/>
      <c r="N410" s="48" t="str">
        <f t="shared" si="31"/>
        <v/>
      </c>
      <c r="O410" s="48" t="str">
        <f>IF(B410="","",COUNTIF($B$7:B410,B410))</f>
        <v/>
      </c>
      <c r="P410" s="48" t="str">
        <f t="shared" si="32"/>
        <v/>
      </c>
      <c r="Q410" s="48" t="str">
        <f t="shared" si="33"/>
        <v/>
      </c>
      <c r="R410" s="48" t="str">
        <f t="shared" si="34"/>
        <v/>
      </c>
    </row>
    <row r="411" spans="1:18" ht="16" x14ac:dyDescent="0.2">
      <c r="A411" s="50"/>
      <c r="B411" s="47"/>
      <c r="C411" s="48" t="str">
        <f>IF(B411="","",IFERROR(INDEX(Tenants!$B$6:$B$35,MATCH(B411,Tenants!$A$6:$A$35,0)),"Unit not found"))</f>
        <v/>
      </c>
      <c r="D411" s="48" t="str">
        <f>IF(B411="","",IF(J411="Y","(vacant)",IFERROR(INDEX(Tenants!$C$6:$C$35,MATCH(B411,Tenants!$A$6:$A$35,0)),"")))</f>
        <v/>
      </c>
      <c r="E411" s="56"/>
      <c r="F411" s="56"/>
      <c r="G411" s="56"/>
      <c r="H411" s="50"/>
      <c r="I411" s="47"/>
      <c r="J411" s="47"/>
      <c r="K411" s="48" t="str">
        <f ca="1">IF(B411="","",IF(UPPER(J411)="Y","Vacant",IF(AND(G411&gt;0,G411&gt;=E411+F411),IF(AND(H411&lt;&gt;"",A411&lt;&gt;"",H411&gt;A411+Settings!$C$7),"Paid late","Paid"),IF(G411&gt;0,"Partial",IF(AND(A411&lt;&gt;"",TODAY()&gt;A411+Settings!$C$7),"Unpaid","Due")))))</f>
        <v/>
      </c>
      <c r="L411" s="52" t="str">
        <f t="shared" si="30"/>
        <v/>
      </c>
      <c r="M411" s="47"/>
      <c r="N411" s="48" t="str">
        <f t="shared" si="31"/>
        <v/>
      </c>
      <c r="O411" s="48" t="str">
        <f>IF(B411="","",COUNTIF($B$7:B411,B411))</f>
        <v/>
      </c>
      <c r="P411" s="48" t="str">
        <f t="shared" si="32"/>
        <v/>
      </c>
      <c r="Q411" s="48" t="str">
        <f t="shared" si="33"/>
        <v/>
      </c>
      <c r="R411" s="48" t="str">
        <f t="shared" si="34"/>
        <v/>
      </c>
    </row>
    <row r="412" spans="1:18" ht="16" x14ac:dyDescent="0.2">
      <c r="A412" s="50"/>
      <c r="B412" s="47"/>
      <c r="C412" s="48" t="str">
        <f>IF(B412="","",IFERROR(INDEX(Tenants!$B$6:$B$35,MATCH(B412,Tenants!$A$6:$A$35,0)),"Unit not found"))</f>
        <v/>
      </c>
      <c r="D412" s="48" t="str">
        <f>IF(B412="","",IF(J412="Y","(vacant)",IFERROR(INDEX(Tenants!$C$6:$C$35,MATCH(B412,Tenants!$A$6:$A$35,0)),"")))</f>
        <v/>
      </c>
      <c r="E412" s="56"/>
      <c r="F412" s="56"/>
      <c r="G412" s="56"/>
      <c r="H412" s="50"/>
      <c r="I412" s="47"/>
      <c r="J412" s="47"/>
      <c r="K412" s="48" t="str">
        <f ca="1">IF(B412="","",IF(UPPER(J412)="Y","Vacant",IF(AND(G412&gt;0,G412&gt;=E412+F412),IF(AND(H412&lt;&gt;"",A412&lt;&gt;"",H412&gt;A412+Settings!$C$7),"Paid late","Paid"),IF(G412&gt;0,"Partial",IF(AND(A412&lt;&gt;"",TODAY()&gt;A412+Settings!$C$7),"Unpaid","Due")))))</f>
        <v/>
      </c>
      <c r="L412" s="52" t="str">
        <f t="shared" si="30"/>
        <v/>
      </c>
      <c r="M412" s="47"/>
      <c r="N412" s="48" t="str">
        <f t="shared" si="31"/>
        <v/>
      </c>
      <c r="O412" s="48" t="str">
        <f>IF(B412="","",COUNTIF($B$7:B412,B412))</f>
        <v/>
      </c>
      <c r="P412" s="48" t="str">
        <f t="shared" si="32"/>
        <v/>
      </c>
      <c r="Q412" s="48" t="str">
        <f t="shared" si="33"/>
        <v/>
      </c>
      <c r="R412" s="48" t="str">
        <f t="shared" si="34"/>
        <v/>
      </c>
    </row>
    <row r="413" spans="1:18" ht="16" x14ac:dyDescent="0.2">
      <c r="A413" s="50"/>
      <c r="B413" s="47"/>
      <c r="C413" s="48" t="str">
        <f>IF(B413="","",IFERROR(INDEX(Tenants!$B$6:$B$35,MATCH(B413,Tenants!$A$6:$A$35,0)),"Unit not found"))</f>
        <v/>
      </c>
      <c r="D413" s="48" t="str">
        <f>IF(B413="","",IF(J413="Y","(vacant)",IFERROR(INDEX(Tenants!$C$6:$C$35,MATCH(B413,Tenants!$A$6:$A$35,0)),"")))</f>
        <v/>
      </c>
      <c r="E413" s="56"/>
      <c r="F413" s="56"/>
      <c r="G413" s="56"/>
      <c r="H413" s="50"/>
      <c r="I413" s="47"/>
      <c r="J413" s="47"/>
      <c r="K413" s="48" t="str">
        <f ca="1">IF(B413="","",IF(UPPER(J413)="Y","Vacant",IF(AND(G413&gt;0,G413&gt;=E413+F413),IF(AND(H413&lt;&gt;"",A413&lt;&gt;"",H413&gt;A413+Settings!$C$7),"Paid late","Paid"),IF(G413&gt;0,"Partial",IF(AND(A413&lt;&gt;"",TODAY()&gt;A413+Settings!$C$7),"Unpaid","Due")))))</f>
        <v/>
      </c>
      <c r="L413" s="52" t="str">
        <f t="shared" si="30"/>
        <v/>
      </c>
      <c r="M413" s="47"/>
      <c r="N413" s="48" t="str">
        <f t="shared" si="31"/>
        <v/>
      </c>
      <c r="O413" s="48" t="str">
        <f>IF(B413="","",COUNTIF($B$7:B413,B413))</f>
        <v/>
      </c>
      <c r="P413" s="48" t="str">
        <f t="shared" si="32"/>
        <v/>
      </c>
      <c r="Q413" s="48" t="str">
        <f t="shared" si="33"/>
        <v/>
      </c>
      <c r="R413" s="48" t="str">
        <f t="shared" si="34"/>
        <v/>
      </c>
    </row>
    <row r="414" spans="1:18" ht="16" x14ac:dyDescent="0.2">
      <c r="A414" s="50"/>
      <c r="B414" s="47"/>
      <c r="C414" s="48" t="str">
        <f>IF(B414="","",IFERROR(INDEX(Tenants!$B$6:$B$35,MATCH(B414,Tenants!$A$6:$A$35,0)),"Unit not found"))</f>
        <v/>
      </c>
      <c r="D414" s="48" t="str">
        <f>IF(B414="","",IF(J414="Y","(vacant)",IFERROR(INDEX(Tenants!$C$6:$C$35,MATCH(B414,Tenants!$A$6:$A$35,0)),"")))</f>
        <v/>
      </c>
      <c r="E414" s="56"/>
      <c r="F414" s="56"/>
      <c r="G414" s="56"/>
      <c r="H414" s="50"/>
      <c r="I414" s="47"/>
      <c r="J414" s="47"/>
      <c r="K414" s="48" t="str">
        <f ca="1">IF(B414="","",IF(UPPER(J414)="Y","Vacant",IF(AND(G414&gt;0,G414&gt;=E414+F414),IF(AND(H414&lt;&gt;"",A414&lt;&gt;"",H414&gt;A414+Settings!$C$7),"Paid late","Paid"),IF(G414&gt;0,"Partial",IF(AND(A414&lt;&gt;"",TODAY()&gt;A414+Settings!$C$7),"Unpaid","Due")))))</f>
        <v/>
      </c>
      <c r="L414" s="52" t="str">
        <f t="shared" si="30"/>
        <v/>
      </c>
      <c r="M414" s="47"/>
      <c r="N414" s="48" t="str">
        <f t="shared" si="31"/>
        <v/>
      </c>
      <c r="O414" s="48" t="str">
        <f>IF(B414="","",COUNTIF($B$7:B414,B414))</f>
        <v/>
      </c>
      <c r="P414" s="48" t="str">
        <f t="shared" si="32"/>
        <v/>
      </c>
      <c r="Q414" s="48" t="str">
        <f t="shared" si="33"/>
        <v/>
      </c>
      <c r="R414" s="48" t="str">
        <f t="shared" si="34"/>
        <v/>
      </c>
    </row>
    <row r="415" spans="1:18" ht="16" x14ac:dyDescent="0.2">
      <c r="A415" s="50"/>
      <c r="B415" s="47"/>
      <c r="C415" s="48" t="str">
        <f>IF(B415="","",IFERROR(INDEX(Tenants!$B$6:$B$35,MATCH(B415,Tenants!$A$6:$A$35,0)),"Unit not found"))</f>
        <v/>
      </c>
      <c r="D415" s="48" t="str">
        <f>IF(B415="","",IF(J415="Y","(vacant)",IFERROR(INDEX(Tenants!$C$6:$C$35,MATCH(B415,Tenants!$A$6:$A$35,0)),"")))</f>
        <v/>
      </c>
      <c r="E415" s="56"/>
      <c r="F415" s="56"/>
      <c r="G415" s="56"/>
      <c r="H415" s="50"/>
      <c r="I415" s="47"/>
      <c r="J415" s="47"/>
      <c r="K415" s="48" t="str">
        <f ca="1">IF(B415="","",IF(UPPER(J415)="Y","Vacant",IF(AND(G415&gt;0,G415&gt;=E415+F415),IF(AND(H415&lt;&gt;"",A415&lt;&gt;"",H415&gt;A415+Settings!$C$7),"Paid late","Paid"),IF(G415&gt;0,"Partial",IF(AND(A415&lt;&gt;"",TODAY()&gt;A415+Settings!$C$7),"Unpaid","Due")))))</f>
        <v/>
      </c>
      <c r="L415" s="52" t="str">
        <f t="shared" si="30"/>
        <v/>
      </c>
      <c r="M415" s="47"/>
      <c r="N415" s="48" t="str">
        <f t="shared" si="31"/>
        <v/>
      </c>
      <c r="O415" s="48" t="str">
        <f>IF(B415="","",COUNTIF($B$7:B415,B415))</f>
        <v/>
      </c>
      <c r="P415" s="48" t="str">
        <f t="shared" si="32"/>
        <v/>
      </c>
      <c r="Q415" s="48" t="str">
        <f t="shared" si="33"/>
        <v/>
      </c>
      <c r="R415" s="48" t="str">
        <f t="shared" si="34"/>
        <v/>
      </c>
    </row>
    <row r="416" spans="1:18" ht="16" x14ac:dyDescent="0.2">
      <c r="A416" s="50"/>
      <c r="B416" s="47"/>
      <c r="C416" s="48" t="str">
        <f>IF(B416="","",IFERROR(INDEX(Tenants!$B$6:$B$35,MATCH(B416,Tenants!$A$6:$A$35,0)),"Unit not found"))</f>
        <v/>
      </c>
      <c r="D416" s="48" t="str">
        <f>IF(B416="","",IF(J416="Y","(vacant)",IFERROR(INDEX(Tenants!$C$6:$C$35,MATCH(B416,Tenants!$A$6:$A$35,0)),"")))</f>
        <v/>
      </c>
      <c r="E416" s="56"/>
      <c r="F416" s="56"/>
      <c r="G416" s="56"/>
      <c r="H416" s="50"/>
      <c r="I416" s="47"/>
      <c r="J416" s="47"/>
      <c r="K416" s="48" t="str">
        <f ca="1">IF(B416="","",IF(UPPER(J416)="Y","Vacant",IF(AND(G416&gt;0,G416&gt;=E416+F416),IF(AND(H416&lt;&gt;"",A416&lt;&gt;"",H416&gt;A416+Settings!$C$7),"Paid late","Paid"),IF(G416&gt;0,"Partial",IF(AND(A416&lt;&gt;"",TODAY()&gt;A416+Settings!$C$7),"Unpaid","Due")))))</f>
        <v/>
      </c>
      <c r="L416" s="52" t="str">
        <f t="shared" si="30"/>
        <v/>
      </c>
      <c r="M416" s="47"/>
      <c r="N416" s="48" t="str">
        <f t="shared" si="31"/>
        <v/>
      </c>
      <c r="O416" s="48" t="str">
        <f>IF(B416="","",COUNTIF($B$7:B416,B416))</f>
        <v/>
      </c>
      <c r="P416" s="48" t="str">
        <f t="shared" si="32"/>
        <v/>
      </c>
      <c r="Q416" s="48" t="str">
        <f t="shared" si="33"/>
        <v/>
      </c>
      <c r="R416" s="48" t="str">
        <f t="shared" si="34"/>
        <v/>
      </c>
    </row>
    <row r="417" spans="1:18" ht="16" x14ac:dyDescent="0.2">
      <c r="A417" s="50"/>
      <c r="B417" s="47"/>
      <c r="C417" s="48" t="str">
        <f>IF(B417="","",IFERROR(INDEX(Tenants!$B$6:$B$35,MATCH(B417,Tenants!$A$6:$A$35,0)),"Unit not found"))</f>
        <v/>
      </c>
      <c r="D417" s="48" t="str">
        <f>IF(B417="","",IF(J417="Y","(vacant)",IFERROR(INDEX(Tenants!$C$6:$C$35,MATCH(B417,Tenants!$A$6:$A$35,0)),"")))</f>
        <v/>
      </c>
      <c r="E417" s="56"/>
      <c r="F417" s="56"/>
      <c r="G417" s="56"/>
      <c r="H417" s="50"/>
      <c r="I417" s="47"/>
      <c r="J417" s="47"/>
      <c r="K417" s="48" t="str">
        <f ca="1">IF(B417="","",IF(UPPER(J417)="Y","Vacant",IF(AND(G417&gt;0,G417&gt;=E417+F417),IF(AND(H417&lt;&gt;"",A417&lt;&gt;"",H417&gt;A417+Settings!$C$7),"Paid late","Paid"),IF(G417&gt;0,"Partial",IF(AND(A417&lt;&gt;"",TODAY()&gt;A417+Settings!$C$7),"Unpaid","Due")))))</f>
        <v/>
      </c>
      <c r="L417" s="52" t="str">
        <f t="shared" si="30"/>
        <v/>
      </c>
      <c r="M417" s="47"/>
      <c r="N417" s="48" t="str">
        <f t="shared" si="31"/>
        <v/>
      </c>
      <c r="O417" s="48" t="str">
        <f>IF(B417="","",COUNTIF($B$7:B417,B417))</f>
        <v/>
      </c>
      <c r="P417" s="48" t="str">
        <f t="shared" si="32"/>
        <v/>
      </c>
      <c r="Q417" s="48" t="str">
        <f t="shared" si="33"/>
        <v/>
      </c>
      <c r="R417" s="48" t="str">
        <f t="shared" si="34"/>
        <v/>
      </c>
    </row>
    <row r="418" spans="1:18" ht="16" x14ac:dyDescent="0.2">
      <c r="A418" s="50"/>
      <c r="B418" s="47"/>
      <c r="C418" s="48" t="str">
        <f>IF(B418="","",IFERROR(INDEX(Tenants!$B$6:$B$35,MATCH(B418,Tenants!$A$6:$A$35,0)),"Unit not found"))</f>
        <v/>
      </c>
      <c r="D418" s="48" t="str">
        <f>IF(B418="","",IF(J418="Y","(vacant)",IFERROR(INDEX(Tenants!$C$6:$C$35,MATCH(B418,Tenants!$A$6:$A$35,0)),"")))</f>
        <v/>
      </c>
      <c r="E418" s="56"/>
      <c r="F418" s="56"/>
      <c r="G418" s="56"/>
      <c r="H418" s="50"/>
      <c r="I418" s="47"/>
      <c r="J418" s="47"/>
      <c r="K418" s="48" t="str">
        <f ca="1">IF(B418="","",IF(UPPER(J418)="Y","Vacant",IF(AND(G418&gt;0,G418&gt;=E418+F418),IF(AND(H418&lt;&gt;"",A418&lt;&gt;"",H418&gt;A418+Settings!$C$7),"Paid late","Paid"),IF(G418&gt;0,"Partial",IF(AND(A418&lt;&gt;"",TODAY()&gt;A418+Settings!$C$7),"Unpaid","Due")))))</f>
        <v/>
      </c>
      <c r="L418" s="52" t="str">
        <f t="shared" si="30"/>
        <v/>
      </c>
      <c r="M418" s="47"/>
      <c r="N418" s="48" t="str">
        <f t="shared" si="31"/>
        <v/>
      </c>
      <c r="O418" s="48" t="str">
        <f>IF(B418="","",COUNTIF($B$7:B418,B418))</f>
        <v/>
      </c>
      <c r="P418" s="48" t="str">
        <f t="shared" si="32"/>
        <v/>
      </c>
      <c r="Q418" s="48" t="str">
        <f t="shared" si="33"/>
        <v/>
      </c>
      <c r="R418" s="48" t="str">
        <f t="shared" si="34"/>
        <v/>
      </c>
    </row>
    <row r="419" spans="1:18" ht="16" x14ac:dyDescent="0.2">
      <c r="A419" s="50"/>
      <c r="B419" s="47"/>
      <c r="C419" s="48" t="str">
        <f>IF(B419="","",IFERROR(INDEX(Tenants!$B$6:$B$35,MATCH(B419,Tenants!$A$6:$A$35,0)),"Unit not found"))</f>
        <v/>
      </c>
      <c r="D419" s="48" t="str">
        <f>IF(B419="","",IF(J419="Y","(vacant)",IFERROR(INDEX(Tenants!$C$6:$C$35,MATCH(B419,Tenants!$A$6:$A$35,0)),"")))</f>
        <v/>
      </c>
      <c r="E419" s="56"/>
      <c r="F419" s="56"/>
      <c r="G419" s="56"/>
      <c r="H419" s="50"/>
      <c r="I419" s="47"/>
      <c r="J419" s="47"/>
      <c r="K419" s="48" t="str">
        <f ca="1">IF(B419="","",IF(UPPER(J419)="Y","Vacant",IF(AND(G419&gt;0,G419&gt;=E419+F419),IF(AND(H419&lt;&gt;"",A419&lt;&gt;"",H419&gt;A419+Settings!$C$7),"Paid late","Paid"),IF(G419&gt;0,"Partial",IF(AND(A419&lt;&gt;"",TODAY()&gt;A419+Settings!$C$7),"Unpaid","Due")))))</f>
        <v/>
      </c>
      <c r="L419" s="52" t="str">
        <f t="shared" si="30"/>
        <v/>
      </c>
      <c r="M419" s="47"/>
      <c r="N419" s="48" t="str">
        <f t="shared" si="31"/>
        <v/>
      </c>
      <c r="O419" s="48" t="str">
        <f>IF(B419="","",COUNTIF($B$7:B419,B419))</f>
        <v/>
      </c>
      <c r="P419" s="48" t="str">
        <f t="shared" si="32"/>
        <v/>
      </c>
      <c r="Q419" s="48" t="str">
        <f t="shared" si="33"/>
        <v/>
      </c>
      <c r="R419" s="48" t="str">
        <f t="shared" si="34"/>
        <v/>
      </c>
    </row>
    <row r="420" spans="1:18" ht="16" x14ac:dyDescent="0.2">
      <c r="A420" s="50"/>
      <c r="B420" s="47"/>
      <c r="C420" s="48" t="str">
        <f>IF(B420="","",IFERROR(INDEX(Tenants!$B$6:$B$35,MATCH(B420,Tenants!$A$6:$A$35,0)),"Unit not found"))</f>
        <v/>
      </c>
      <c r="D420" s="48" t="str">
        <f>IF(B420="","",IF(J420="Y","(vacant)",IFERROR(INDEX(Tenants!$C$6:$C$35,MATCH(B420,Tenants!$A$6:$A$35,0)),"")))</f>
        <v/>
      </c>
      <c r="E420" s="56"/>
      <c r="F420" s="56"/>
      <c r="G420" s="56"/>
      <c r="H420" s="50"/>
      <c r="I420" s="47"/>
      <c r="J420" s="47"/>
      <c r="K420" s="48" t="str">
        <f ca="1">IF(B420="","",IF(UPPER(J420)="Y","Vacant",IF(AND(G420&gt;0,G420&gt;=E420+F420),IF(AND(H420&lt;&gt;"",A420&lt;&gt;"",H420&gt;A420+Settings!$C$7),"Paid late","Paid"),IF(G420&gt;0,"Partial",IF(AND(A420&lt;&gt;"",TODAY()&gt;A420+Settings!$C$7),"Unpaid","Due")))))</f>
        <v/>
      </c>
      <c r="L420" s="52" t="str">
        <f t="shared" si="30"/>
        <v/>
      </c>
      <c r="M420" s="47"/>
      <c r="N420" s="48" t="str">
        <f t="shared" si="31"/>
        <v/>
      </c>
      <c r="O420" s="48" t="str">
        <f>IF(B420="","",COUNTIF($B$7:B420,B420))</f>
        <v/>
      </c>
      <c r="P420" s="48" t="str">
        <f t="shared" si="32"/>
        <v/>
      </c>
      <c r="Q420" s="48" t="str">
        <f t="shared" si="33"/>
        <v/>
      </c>
      <c r="R420" s="48" t="str">
        <f t="shared" si="34"/>
        <v/>
      </c>
    </row>
    <row r="421" spans="1:18" ht="16" x14ac:dyDescent="0.2">
      <c r="A421" s="50"/>
      <c r="B421" s="47"/>
      <c r="C421" s="48" t="str">
        <f>IF(B421="","",IFERROR(INDEX(Tenants!$B$6:$B$35,MATCH(B421,Tenants!$A$6:$A$35,0)),"Unit not found"))</f>
        <v/>
      </c>
      <c r="D421" s="48" t="str">
        <f>IF(B421="","",IF(J421="Y","(vacant)",IFERROR(INDEX(Tenants!$C$6:$C$35,MATCH(B421,Tenants!$A$6:$A$35,0)),"")))</f>
        <v/>
      </c>
      <c r="E421" s="56"/>
      <c r="F421" s="56"/>
      <c r="G421" s="56"/>
      <c r="H421" s="50"/>
      <c r="I421" s="47"/>
      <c r="J421" s="47"/>
      <c r="K421" s="48" t="str">
        <f ca="1">IF(B421="","",IF(UPPER(J421)="Y","Vacant",IF(AND(G421&gt;0,G421&gt;=E421+F421),IF(AND(H421&lt;&gt;"",A421&lt;&gt;"",H421&gt;A421+Settings!$C$7),"Paid late","Paid"),IF(G421&gt;0,"Partial",IF(AND(A421&lt;&gt;"",TODAY()&gt;A421+Settings!$C$7),"Unpaid","Due")))))</f>
        <v/>
      </c>
      <c r="L421" s="52" t="str">
        <f t="shared" si="30"/>
        <v/>
      </c>
      <c r="M421" s="47"/>
      <c r="N421" s="48" t="str">
        <f t="shared" si="31"/>
        <v/>
      </c>
      <c r="O421" s="48" t="str">
        <f>IF(B421="","",COUNTIF($B$7:B421,B421))</f>
        <v/>
      </c>
      <c r="P421" s="48" t="str">
        <f t="shared" si="32"/>
        <v/>
      </c>
      <c r="Q421" s="48" t="str">
        <f t="shared" si="33"/>
        <v/>
      </c>
      <c r="R421" s="48" t="str">
        <f t="shared" si="34"/>
        <v/>
      </c>
    </row>
    <row r="422" spans="1:18" ht="16" x14ac:dyDescent="0.2">
      <c r="A422" s="50"/>
      <c r="B422" s="47"/>
      <c r="C422" s="48" t="str">
        <f>IF(B422="","",IFERROR(INDEX(Tenants!$B$6:$B$35,MATCH(B422,Tenants!$A$6:$A$35,0)),"Unit not found"))</f>
        <v/>
      </c>
      <c r="D422" s="48" t="str">
        <f>IF(B422="","",IF(J422="Y","(vacant)",IFERROR(INDEX(Tenants!$C$6:$C$35,MATCH(B422,Tenants!$A$6:$A$35,0)),"")))</f>
        <v/>
      </c>
      <c r="E422" s="56"/>
      <c r="F422" s="56"/>
      <c r="G422" s="56"/>
      <c r="H422" s="50"/>
      <c r="I422" s="47"/>
      <c r="J422" s="47"/>
      <c r="K422" s="48" t="str">
        <f ca="1">IF(B422="","",IF(UPPER(J422)="Y","Vacant",IF(AND(G422&gt;0,G422&gt;=E422+F422),IF(AND(H422&lt;&gt;"",A422&lt;&gt;"",H422&gt;A422+Settings!$C$7),"Paid late","Paid"),IF(G422&gt;0,"Partial",IF(AND(A422&lt;&gt;"",TODAY()&gt;A422+Settings!$C$7),"Unpaid","Due")))))</f>
        <v/>
      </c>
      <c r="L422" s="52" t="str">
        <f t="shared" si="30"/>
        <v/>
      </c>
      <c r="M422" s="47"/>
      <c r="N422" s="48" t="str">
        <f t="shared" si="31"/>
        <v/>
      </c>
      <c r="O422" s="48" t="str">
        <f>IF(B422="","",COUNTIF($B$7:B422,B422))</f>
        <v/>
      </c>
      <c r="P422" s="48" t="str">
        <f t="shared" si="32"/>
        <v/>
      </c>
      <c r="Q422" s="48" t="str">
        <f t="shared" si="33"/>
        <v/>
      </c>
      <c r="R422" s="48" t="str">
        <f t="shared" si="34"/>
        <v/>
      </c>
    </row>
    <row r="423" spans="1:18" ht="16" x14ac:dyDescent="0.2">
      <c r="A423" s="50"/>
      <c r="B423" s="47"/>
      <c r="C423" s="48" t="str">
        <f>IF(B423="","",IFERROR(INDEX(Tenants!$B$6:$B$35,MATCH(B423,Tenants!$A$6:$A$35,0)),"Unit not found"))</f>
        <v/>
      </c>
      <c r="D423" s="48" t="str">
        <f>IF(B423="","",IF(J423="Y","(vacant)",IFERROR(INDEX(Tenants!$C$6:$C$35,MATCH(B423,Tenants!$A$6:$A$35,0)),"")))</f>
        <v/>
      </c>
      <c r="E423" s="56"/>
      <c r="F423" s="56"/>
      <c r="G423" s="56"/>
      <c r="H423" s="50"/>
      <c r="I423" s="47"/>
      <c r="J423" s="47"/>
      <c r="K423" s="48" t="str">
        <f ca="1">IF(B423="","",IF(UPPER(J423)="Y","Vacant",IF(AND(G423&gt;0,G423&gt;=E423+F423),IF(AND(H423&lt;&gt;"",A423&lt;&gt;"",H423&gt;A423+Settings!$C$7),"Paid late","Paid"),IF(G423&gt;0,"Partial",IF(AND(A423&lt;&gt;"",TODAY()&gt;A423+Settings!$C$7),"Unpaid","Due")))))</f>
        <v/>
      </c>
      <c r="L423" s="52" t="str">
        <f t="shared" si="30"/>
        <v/>
      </c>
      <c r="M423" s="47"/>
      <c r="N423" s="48" t="str">
        <f t="shared" si="31"/>
        <v/>
      </c>
      <c r="O423" s="48" t="str">
        <f>IF(B423="","",COUNTIF($B$7:B423,B423))</f>
        <v/>
      </c>
      <c r="P423" s="48" t="str">
        <f t="shared" si="32"/>
        <v/>
      </c>
      <c r="Q423" s="48" t="str">
        <f t="shared" si="33"/>
        <v/>
      </c>
      <c r="R423" s="48" t="str">
        <f t="shared" si="34"/>
        <v/>
      </c>
    </row>
    <row r="424" spans="1:18" ht="16" x14ac:dyDescent="0.2">
      <c r="A424" s="50"/>
      <c r="B424" s="47"/>
      <c r="C424" s="48" t="str">
        <f>IF(B424="","",IFERROR(INDEX(Tenants!$B$6:$B$35,MATCH(B424,Tenants!$A$6:$A$35,0)),"Unit not found"))</f>
        <v/>
      </c>
      <c r="D424" s="48" t="str">
        <f>IF(B424="","",IF(J424="Y","(vacant)",IFERROR(INDEX(Tenants!$C$6:$C$35,MATCH(B424,Tenants!$A$6:$A$35,0)),"")))</f>
        <v/>
      </c>
      <c r="E424" s="56"/>
      <c r="F424" s="56"/>
      <c r="G424" s="56"/>
      <c r="H424" s="50"/>
      <c r="I424" s="47"/>
      <c r="J424" s="47"/>
      <c r="K424" s="48" t="str">
        <f ca="1">IF(B424="","",IF(UPPER(J424)="Y","Vacant",IF(AND(G424&gt;0,G424&gt;=E424+F424),IF(AND(H424&lt;&gt;"",A424&lt;&gt;"",H424&gt;A424+Settings!$C$7),"Paid late","Paid"),IF(G424&gt;0,"Partial",IF(AND(A424&lt;&gt;"",TODAY()&gt;A424+Settings!$C$7),"Unpaid","Due")))))</f>
        <v/>
      </c>
      <c r="L424" s="52" t="str">
        <f t="shared" si="30"/>
        <v/>
      </c>
      <c r="M424" s="47"/>
      <c r="N424" s="48" t="str">
        <f t="shared" si="31"/>
        <v/>
      </c>
      <c r="O424" s="48" t="str">
        <f>IF(B424="","",COUNTIF($B$7:B424,B424))</f>
        <v/>
      </c>
      <c r="P424" s="48" t="str">
        <f t="shared" si="32"/>
        <v/>
      </c>
      <c r="Q424" s="48" t="str">
        <f t="shared" si="33"/>
        <v/>
      </c>
      <c r="R424" s="48" t="str">
        <f t="shared" si="34"/>
        <v/>
      </c>
    </row>
    <row r="425" spans="1:18" ht="16" x14ac:dyDescent="0.2">
      <c r="A425" s="50"/>
      <c r="B425" s="47"/>
      <c r="C425" s="48" t="str">
        <f>IF(B425="","",IFERROR(INDEX(Tenants!$B$6:$B$35,MATCH(B425,Tenants!$A$6:$A$35,0)),"Unit not found"))</f>
        <v/>
      </c>
      <c r="D425" s="48" t="str">
        <f>IF(B425="","",IF(J425="Y","(vacant)",IFERROR(INDEX(Tenants!$C$6:$C$35,MATCH(B425,Tenants!$A$6:$A$35,0)),"")))</f>
        <v/>
      </c>
      <c r="E425" s="56"/>
      <c r="F425" s="56"/>
      <c r="G425" s="56"/>
      <c r="H425" s="50"/>
      <c r="I425" s="47"/>
      <c r="J425" s="47"/>
      <c r="K425" s="48" t="str">
        <f ca="1">IF(B425="","",IF(UPPER(J425)="Y","Vacant",IF(AND(G425&gt;0,G425&gt;=E425+F425),IF(AND(H425&lt;&gt;"",A425&lt;&gt;"",H425&gt;A425+Settings!$C$7),"Paid late","Paid"),IF(G425&gt;0,"Partial",IF(AND(A425&lt;&gt;"",TODAY()&gt;A425+Settings!$C$7),"Unpaid","Due")))))</f>
        <v/>
      </c>
      <c r="L425" s="52" t="str">
        <f t="shared" si="30"/>
        <v/>
      </c>
      <c r="M425" s="47"/>
      <c r="N425" s="48" t="str">
        <f t="shared" si="31"/>
        <v/>
      </c>
      <c r="O425" s="48" t="str">
        <f>IF(B425="","",COUNTIF($B$7:B425,B425))</f>
        <v/>
      </c>
      <c r="P425" s="48" t="str">
        <f t="shared" si="32"/>
        <v/>
      </c>
      <c r="Q425" s="48" t="str">
        <f t="shared" si="33"/>
        <v/>
      </c>
      <c r="R425" s="48" t="str">
        <f t="shared" si="34"/>
        <v/>
      </c>
    </row>
    <row r="426" spans="1:18" ht="16" x14ac:dyDescent="0.2">
      <c r="A426" s="50"/>
      <c r="B426" s="47"/>
      <c r="C426" s="48" t="str">
        <f>IF(B426="","",IFERROR(INDEX(Tenants!$B$6:$B$35,MATCH(B426,Tenants!$A$6:$A$35,0)),"Unit not found"))</f>
        <v/>
      </c>
      <c r="D426" s="48" t="str">
        <f>IF(B426="","",IF(J426="Y","(vacant)",IFERROR(INDEX(Tenants!$C$6:$C$35,MATCH(B426,Tenants!$A$6:$A$35,0)),"")))</f>
        <v/>
      </c>
      <c r="E426" s="56"/>
      <c r="F426" s="56"/>
      <c r="G426" s="56"/>
      <c r="H426" s="50"/>
      <c r="I426" s="47"/>
      <c r="J426" s="47"/>
      <c r="K426" s="48" t="str">
        <f ca="1">IF(B426="","",IF(UPPER(J426)="Y","Vacant",IF(AND(G426&gt;0,G426&gt;=E426+F426),IF(AND(H426&lt;&gt;"",A426&lt;&gt;"",H426&gt;A426+Settings!$C$7),"Paid late","Paid"),IF(G426&gt;0,"Partial",IF(AND(A426&lt;&gt;"",TODAY()&gt;A426+Settings!$C$7),"Unpaid","Due")))))</f>
        <v/>
      </c>
      <c r="L426" s="52" t="str">
        <f t="shared" si="30"/>
        <v/>
      </c>
      <c r="M426" s="47"/>
      <c r="N426" s="48" t="str">
        <f t="shared" si="31"/>
        <v/>
      </c>
      <c r="O426" s="48" t="str">
        <f>IF(B426="","",COUNTIF($B$7:B426,B426))</f>
        <v/>
      </c>
      <c r="P426" s="48" t="str">
        <f t="shared" si="32"/>
        <v/>
      </c>
      <c r="Q426" s="48" t="str">
        <f t="shared" si="33"/>
        <v/>
      </c>
      <c r="R426" s="48" t="str">
        <f t="shared" si="34"/>
        <v/>
      </c>
    </row>
    <row r="427" spans="1:18" ht="16" x14ac:dyDescent="0.2">
      <c r="A427" s="50"/>
      <c r="B427" s="47"/>
      <c r="C427" s="48" t="str">
        <f>IF(B427="","",IFERROR(INDEX(Tenants!$B$6:$B$35,MATCH(B427,Tenants!$A$6:$A$35,0)),"Unit not found"))</f>
        <v/>
      </c>
      <c r="D427" s="48" t="str">
        <f>IF(B427="","",IF(J427="Y","(vacant)",IFERROR(INDEX(Tenants!$C$6:$C$35,MATCH(B427,Tenants!$A$6:$A$35,0)),"")))</f>
        <v/>
      </c>
      <c r="E427" s="56"/>
      <c r="F427" s="56"/>
      <c r="G427" s="56"/>
      <c r="H427" s="50"/>
      <c r="I427" s="47"/>
      <c r="J427" s="47"/>
      <c r="K427" s="48" t="str">
        <f ca="1">IF(B427="","",IF(UPPER(J427)="Y","Vacant",IF(AND(G427&gt;0,G427&gt;=E427+F427),IF(AND(H427&lt;&gt;"",A427&lt;&gt;"",H427&gt;A427+Settings!$C$7),"Paid late","Paid"),IF(G427&gt;0,"Partial",IF(AND(A427&lt;&gt;"",TODAY()&gt;A427+Settings!$C$7),"Unpaid","Due")))))</f>
        <v/>
      </c>
      <c r="L427" s="52" t="str">
        <f t="shared" si="30"/>
        <v/>
      </c>
      <c r="M427" s="47"/>
      <c r="N427" s="48" t="str">
        <f t="shared" si="31"/>
        <v/>
      </c>
      <c r="O427" s="48" t="str">
        <f>IF(B427="","",COUNTIF($B$7:B427,B427))</f>
        <v/>
      </c>
      <c r="P427" s="48" t="str">
        <f t="shared" si="32"/>
        <v/>
      </c>
      <c r="Q427" s="48" t="str">
        <f t="shared" si="33"/>
        <v/>
      </c>
      <c r="R427" s="48" t="str">
        <f t="shared" si="34"/>
        <v/>
      </c>
    </row>
    <row r="428" spans="1:18" ht="16" x14ac:dyDescent="0.2">
      <c r="A428" s="50"/>
      <c r="B428" s="47"/>
      <c r="C428" s="48" t="str">
        <f>IF(B428="","",IFERROR(INDEX(Tenants!$B$6:$B$35,MATCH(B428,Tenants!$A$6:$A$35,0)),"Unit not found"))</f>
        <v/>
      </c>
      <c r="D428" s="48" t="str">
        <f>IF(B428="","",IF(J428="Y","(vacant)",IFERROR(INDEX(Tenants!$C$6:$C$35,MATCH(B428,Tenants!$A$6:$A$35,0)),"")))</f>
        <v/>
      </c>
      <c r="E428" s="56"/>
      <c r="F428" s="56"/>
      <c r="G428" s="56"/>
      <c r="H428" s="50"/>
      <c r="I428" s="47"/>
      <c r="J428" s="47"/>
      <c r="K428" s="48" t="str">
        <f ca="1">IF(B428="","",IF(UPPER(J428)="Y","Vacant",IF(AND(G428&gt;0,G428&gt;=E428+F428),IF(AND(H428&lt;&gt;"",A428&lt;&gt;"",H428&gt;A428+Settings!$C$7),"Paid late","Paid"),IF(G428&gt;0,"Partial",IF(AND(A428&lt;&gt;"",TODAY()&gt;A428+Settings!$C$7),"Unpaid","Due")))))</f>
        <v/>
      </c>
      <c r="L428" s="52" t="str">
        <f t="shared" si="30"/>
        <v/>
      </c>
      <c r="M428" s="47"/>
      <c r="N428" s="48" t="str">
        <f t="shared" si="31"/>
        <v/>
      </c>
      <c r="O428" s="48" t="str">
        <f>IF(B428="","",COUNTIF($B$7:B428,B428))</f>
        <v/>
      </c>
      <c r="P428" s="48" t="str">
        <f t="shared" si="32"/>
        <v/>
      </c>
      <c r="Q428" s="48" t="str">
        <f t="shared" si="33"/>
        <v/>
      </c>
      <c r="R428" s="48" t="str">
        <f t="shared" si="34"/>
        <v/>
      </c>
    </row>
    <row r="429" spans="1:18" ht="16" x14ac:dyDescent="0.2">
      <c r="A429" s="50"/>
      <c r="B429" s="47"/>
      <c r="C429" s="48" t="str">
        <f>IF(B429="","",IFERROR(INDEX(Tenants!$B$6:$B$35,MATCH(B429,Tenants!$A$6:$A$35,0)),"Unit not found"))</f>
        <v/>
      </c>
      <c r="D429" s="48" t="str">
        <f>IF(B429="","",IF(J429="Y","(vacant)",IFERROR(INDEX(Tenants!$C$6:$C$35,MATCH(B429,Tenants!$A$6:$A$35,0)),"")))</f>
        <v/>
      </c>
      <c r="E429" s="56"/>
      <c r="F429" s="56"/>
      <c r="G429" s="56"/>
      <c r="H429" s="50"/>
      <c r="I429" s="47"/>
      <c r="J429" s="47"/>
      <c r="K429" s="48" t="str">
        <f ca="1">IF(B429="","",IF(UPPER(J429)="Y","Vacant",IF(AND(G429&gt;0,G429&gt;=E429+F429),IF(AND(H429&lt;&gt;"",A429&lt;&gt;"",H429&gt;A429+Settings!$C$7),"Paid late","Paid"),IF(G429&gt;0,"Partial",IF(AND(A429&lt;&gt;"",TODAY()&gt;A429+Settings!$C$7),"Unpaid","Due")))))</f>
        <v/>
      </c>
      <c r="L429" s="52" t="str">
        <f t="shared" si="30"/>
        <v/>
      </c>
      <c r="M429" s="47"/>
      <c r="N429" s="48" t="str">
        <f t="shared" si="31"/>
        <v/>
      </c>
      <c r="O429" s="48" t="str">
        <f>IF(B429="","",COUNTIF($B$7:B429,B429))</f>
        <v/>
      </c>
      <c r="P429" s="48" t="str">
        <f t="shared" si="32"/>
        <v/>
      </c>
      <c r="Q429" s="48" t="str">
        <f t="shared" si="33"/>
        <v/>
      </c>
      <c r="R429" s="48" t="str">
        <f t="shared" si="34"/>
        <v/>
      </c>
    </row>
    <row r="430" spans="1:18" ht="16" x14ac:dyDescent="0.2">
      <c r="A430" s="50"/>
      <c r="B430" s="47"/>
      <c r="C430" s="48" t="str">
        <f>IF(B430="","",IFERROR(INDEX(Tenants!$B$6:$B$35,MATCH(B430,Tenants!$A$6:$A$35,0)),"Unit not found"))</f>
        <v/>
      </c>
      <c r="D430" s="48" t="str">
        <f>IF(B430="","",IF(J430="Y","(vacant)",IFERROR(INDEX(Tenants!$C$6:$C$35,MATCH(B430,Tenants!$A$6:$A$35,0)),"")))</f>
        <v/>
      </c>
      <c r="E430" s="56"/>
      <c r="F430" s="56"/>
      <c r="G430" s="56"/>
      <c r="H430" s="50"/>
      <c r="I430" s="47"/>
      <c r="J430" s="47"/>
      <c r="K430" s="48" t="str">
        <f ca="1">IF(B430="","",IF(UPPER(J430)="Y","Vacant",IF(AND(G430&gt;0,G430&gt;=E430+F430),IF(AND(H430&lt;&gt;"",A430&lt;&gt;"",H430&gt;A430+Settings!$C$7),"Paid late","Paid"),IF(G430&gt;0,"Partial",IF(AND(A430&lt;&gt;"",TODAY()&gt;A430+Settings!$C$7),"Unpaid","Due")))))</f>
        <v/>
      </c>
      <c r="L430" s="52" t="str">
        <f t="shared" si="30"/>
        <v/>
      </c>
      <c r="M430" s="47"/>
      <c r="N430" s="48" t="str">
        <f t="shared" si="31"/>
        <v/>
      </c>
      <c r="O430" s="48" t="str">
        <f>IF(B430="","",COUNTIF($B$7:B430,B430))</f>
        <v/>
      </c>
      <c r="P430" s="48" t="str">
        <f t="shared" si="32"/>
        <v/>
      </c>
      <c r="Q430" s="48" t="str">
        <f t="shared" si="33"/>
        <v/>
      </c>
      <c r="R430" s="48" t="str">
        <f t="shared" si="34"/>
        <v/>
      </c>
    </row>
    <row r="431" spans="1:18" ht="16" x14ac:dyDescent="0.2">
      <c r="A431" s="50"/>
      <c r="B431" s="47"/>
      <c r="C431" s="48" t="str">
        <f>IF(B431="","",IFERROR(INDEX(Tenants!$B$6:$B$35,MATCH(B431,Tenants!$A$6:$A$35,0)),"Unit not found"))</f>
        <v/>
      </c>
      <c r="D431" s="48" t="str">
        <f>IF(B431="","",IF(J431="Y","(vacant)",IFERROR(INDEX(Tenants!$C$6:$C$35,MATCH(B431,Tenants!$A$6:$A$35,0)),"")))</f>
        <v/>
      </c>
      <c r="E431" s="56"/>
      <c r="F431" s="56"/>
      <c r="G431" s="56"/>
      <c r="H431" s="50"/>
      <c r="I431" s="47"/>
      <c r="J431" s="47"/>
      <c r="K431" s="48" t="str">
        <f ca="1">IF(B431="","",IF(UPPER(J431)="Y","Vacant",IF(AND(G431&gt;0,G431&gt;=E431+F431),IF(AND(H431&lt;&gt;"",A431&lt;&gt;"",H431&gt;A431+Settings!$C$7),"Paid late","Paid"),IF(G431&gt;0,"Partial",IF(AND(A431&lt;&gt;"",TODAY()&gt;A431+Settings!$C$7),"Unpaid","Due")))))</f>
        <v/>
      </c>
      <c r="L431" s="52" t="str">
        <f t="shared" si="30"/>
        <v/>
      </c>
      <c r="M431" s="47"/>
      <c r="N431" s="48" t="str">
        <f t="shared" si="31"/>
        <v/>
      </c>
      <c r="O431" s="48" t="str">
        <f>IF(B431="","",COUNTIF($B$7:B431,B431))</f>
        <v/>
      </c>
      <c r="P431" s="48" t="str">
        <f t="shared" si="32"/>
        <v/>
      </c>
      <c r="Q431" s="48" t="str">
        <f t="shared" si="33"/>
        <v/>
      </c>
      <c r="R431" s="48" t="str">
        <f t="shared" si="34"/>
        <v/>
      </c>
    </row>
    <row r="432" spans="1:18" ht="16" x14ac:dyDescent="0.2">
      <c r="A432" s="50"/>
      <c r="B432" s="47"/>
      <c r="C432" s="48" t="str">
        <f>IF(B432="","",IFERROR(INDEX(Tenants!$B$6:$B$35,MATCH(B432,Tenants!$A$6:$A$35,0)),"Unit not found"))</f>
        <v/>
      </c>
      <c r="D432" s="48" t="str">
        <f>IF(B432="","",IF(J432="Y","(vacant)",IFERROR(INDEX(Tenants!$C$6:$C$35,MATCH(B432,Tenants!$A$6:$A$35,0)),"")))</f>
        <v/>
      </c>
      <c r="E432" s="56"/>
      <c r="F432" s="56"/>
      <c r="G432" s="56"/>
      <c r="H432" s="50"/>
      <c r="I432" s="47"/>
      <c r="J432" s="47"/>
      <c r="K432" s="48" t="str">
        <f ca="1">IF(B432="","",IF(UPPER(J432)="Y","Vacant",IF(AND(G432&gt;0,G432&gt;=E432+F432),IF(AND(H432&lt;&gt;"",A432&lt;&gt;"",H432&gt;A432+Settings!$C$7),"Paid late","Paid"),IF(G432&gt;0,"Partial",IF(AND(A432&lt;&gt;"",TODAY()&gt;A432+Settings!$C$7),"Unpaid","Due")))))</f>
        <v/>
      </c>
      <c r="L432" s="52" t="str">
        <f t="shared" si="30"/>
        <v/>
      </c>
      <c r="M432" s="47"/>
      <c r="N432" s="48" t="str">
        <f t="shared" si="31"/>
        <v/>
      </c>
      <c r="O432" s="48" t="str">
        <f>IF(B432="","",COUNTIF($B$7:B432,B432))</f>
        <v/>
      </c>
      <c r="P432" s="48" t="str">
        <f t="shared" si="32"/>
        <v/>
      </c>
      <c r="Q432" s="48" t="str">
        <f t="shared" si="33"/>
        <v/>
      </c>
      <c r="R432" s="48" t="str">
        <f t="shared" si="34"/>
        <v/>
      </c>
    </row>
    <row r="433" spans="1:18" ht="16" x14ac:dyDescent="0.2">
      <c r="A433" s="50"/>
      <c r="B433" s="47"/>
      <c r="C433" s="48" t="str">
        <f>IF(B433="","",IFERROR(INDEX(Tenants!$B$6:$B$35,MATCH(B433,Tenants!$A$6:$A$35,0)),"Unit not found"))</f>
        <v/>
      </c>
      <c r="D433" s="48" t="str">
        <f>IF(B433="","",IF(J433="Y","(vacant)",IFERROR(INDEX(Tenants!$C$6:$C$35,MATCH(B433,Tenants!$A$6:$A$35,0)),"")))</f>
        <v/>
      </c>
      <c r="E433" s="56"/>
      <c r="F433" s="56"/>
      <c r="G433" s="56"/>
      <c r="H433" s="50"/>
      <c r="I433" s="47"/>
      <c r="J433" s="47"/>
      <c r="K433" s="48" t="str">
        <f ca="1">IF(B433="","",IF(UPPER(J433)="Y","Vacant",IF(AND(G433&gt;0,G433&gt;=E433+F433),IF(AND(H433&lt;&gt;"",A433&lt;&gt;"",H433&gt;A433+Settings!$C$7),"Paid late","Paid"),IF(G433&gt;0,"Partial",IF(AND(A433&lt;&gt;"",TODAY()&gt;A433+Settings!$C$7),"Unpaid","Due")))))</f>
        <v/>
      </c>
      <c r="L433" s="52" t="str">
        <f t="shared" si="30"/>
        <v/>
      </c>
      <c r="M433" s="47"/>
      <c r="N433" s="48" t="str">
        <f t="shared" si="31"/>
        <v/>
      </c>
      <c r="O433" s="48" t="str">
        <f>IF(B433="","",COUNTIF($B$7:B433,B433))</f>
        <v/>
      </c>
      <c r="P433" s="48" t="str">
        <f t="shared" si="32"/>
        <v/>
      </c>
      <c r="Q433" s="48" t="str">
        <f t="shared" si="33"/>
        <v/>
      </c>
      <c r="R433" s="48" t="str">
        <f t="shared" si="34"/>
        <v/>
      </c>
    </row>
    <row r="434" spans="1:18" ht="16" x14ac:dyDescent="0.2">
      <c r="A434" s="50"/>
      <c r="B434" s="47"/>
      <c r="C434" s="48" t="str">
        <f>IF(B434="","",IFERROR(INDEX(Tenants!$B$6:$B$35,MATCH(B434,Tenants!$A$6:$A$35,0)),"Unit not found"))</f>
        <v/>
      </c>
      <c r="D434" s="48" t="str">
        <f>IF(B434="","",IF(J434="Y","(vacant)",IFERROR(INDEX(Tenants!$C$6:$C$35,MATCH(B434,Tenants!$A$6:$A$35,0)),"")))</f>
        <v/>
      </c>
      <c r="E434" s="56"/>
      <c r="F434" s="56"/>
      <c r="G434" s="56"/>
      <c r="H434" s="50"/>
      <c r="I434" s="47"/>
      <c r="J434" s="47"/>
      <c r="K434" s="48" t="str">
        <f ca="1">IF(B434="","",IF(UPPER(J434)="Y","Vacant",IF(AND(G434&gt;0,G434&gt;=E434+F434),IF(AND(H434&lt;&gt;"",A434&lt;&gt;"",H434&gt;A434+Settings!$C$7),"Paid late","Paid"),IF(G434&gt;0,"Partial",IF(AND(A434&lt;&gt;"",TODAY()&gt;A434+Settings!$C$7),"Unpaid","Due")))))</f>
        <v/>
      </c>
      <c r="L434" s="52" t="str">
        <f t="shared" si="30"/>
        <v/>
      </c>
      <c r="M434" s="47"/>
      <c r="N434" s="48" t="str">
        <f t="shared" si="31"/>
        <v/>
      </c>
      <c r="O434" s="48" t="str">
        <f>IF(B434="","",COUNTIF($B$7:B434,B434))</f>
        <v/>
      </c>
      <c r="P434" s="48" t="str">
        <f t="shared" si="32"/>
        <v/>
      </c>
      <c r="Q434" s="48" t="str">
        <f t="shared" si="33"/>
        <v/>
      </c>
      <c r="R434" s="48" t="str">
        <f t="shared" si="34"/>
        <v/>
      </c>
    </row>
    <row r="435" spans="1:18" ht="16" x14ac:dyDescent="0.2">
      <c r="A435" s="50"/>
      <c r="B435" s="47"/>
      <c r="C435" s="48" t="str">
        <f>IF(B435="","",IFERROR(INDEX(Tenants!$B$6:$B$35,MATCH(B435,Tenants!$A$6:$A$35,0)),"Unit not found"))</f>
        <v/>
      </c>
      <c r="D435" s="48" t="str">
        <f>IF(B435="","",IF(J435="Y","(vacant)",IFERROR(INDEX(Tenants!$C$6:$C$35,MATCH(B435,Tenants!$A$6:$A$35,0)),"")))</f>
        <v/>
      </c>
      <c r="E435" s="56"/>
      <c r="F435" s="56"/>
      <c r="G435" s="56"/>
      <c r="H435" s="50"/>
      <c r="I435" s="47"/>
      <c r="J435" s="47"/>
      <c r="K435" s="48" t="str">
        <f ca="1">IF(B435="","",IF(UPPER(J435)="Y","Vacant",IF(AND(G435&gt;0,G435&gt;=E435+F435),IF(AND(H435&lt;&gt;"",A435&lt;&gt;"",H435&gt;A435+Settings!$C$7),"Paid late","Paid"),IF(G435&gt;0,"Partial",IF(AND(A435&lt;&gt;"",TODAY()&gt;A435+Settings!$C$7),"Unpaid","Due")))))</f>
        <v/>
      </c>
      <c r="L435" s="52" t="str">
        <f t="shared" si="30"/>
        <v/>
      </c>
      <c r="M435" s="47"/>
      <c r="N435" s="48" t="str">
        <f t="shared" si="31"/>
        <v/>
      </c>
      <c r="O435" s="48" t="str">
        <f>IF(B435="","",COUNTIF($B$7:B435,B435))</f>
        <v/>
      </c>
      <c r="P435" s="48" t="str">
        <f t="shared" si="32"/>
        <v/>
      </c>
      <c r="Q435" s="48" t="str">
        <f t="shared" si="33"/>
        <v/>
      </c>
      <c r="R435" s="48" t="str">
        <f t="shared" si="34"/>
        <v/>
      </c>
    </row>
    <row r="436" spans="1:18" ht="16" x14ac:dyDescent="0.2">
      <c r="A436" s="50"/>
      <c r="B436" s="47"/>
      <c r="C436" s="48" t="str">
        <f>IF(B436="","",IFERROR(INDEX(Tenants!$B$6:$B$35,MATCH(B436,Tenants!$A$6:$A$35,0)),"Unit not found"))</f>
        <v/>
      </c>
      <c r="D436" s="48" t="str">
        <f>IF(B436="","",IF(J436="Y","(vacant)",IFERROR(INDEX(Tenants!$C$6:$C$35,MATCH(B436,Tenants!$A$6:$A$35,0)),"")))</f>
        <v/>
      </c>
      <c r="E436" s="56"/>
      <c r="F436" s="56"/>
      <c r="G436" s="56"/>
      <c r="H436" s="50"/>
      <c r="I436" s="47"/>
      <c r="J436" s="47"/>
      <c r="K436" s="48" t="str">
        <f ca="1">IF(B436="","",IF(UPPER(J436)="Y","Vacant",IF(AND(G436&gt;0,G436&gt;=E436+F436),IF(AND(H436&lt;&gt;"",A436&lt;&gt;"",H436&gt;A436+Settings!$C$7),"Paid late","Paid"),IF(G436&gt;0,"Partial",IF(AND(A436&lt;&gt;"",TODAY()&gt;A436+Settings!$C$7),"Unpaid","Due")))))</f>
        <v/>
      </c>
      <c r="L436" s="52" t="str">
        <f t="shared" si="30"/>
        <v/>
      </c>
      <c r="M436" s="47"/>
      <c r="N436" s="48" t="str">
        <f t="shared" si="31"/>
        <v/>
      </c>
      <c r="O436" s="48" t="str">
        <f>IF(B436="","",COUNTIF($B$7:B436,B436))</f>
        <v/>
      </c>
      <c r="P436" s="48" t="str">
        <f t="shared" si="32"/>
        <v/>
      </c>
      <c r="Q436" s="48" t="str">
        <f t="shared" si="33"/>
        <v/>
      </c>
      <c r="R436" s="48" t="str">
        <f t="shared" si="34"/>
        <v/>
      </c>
    </row>
    <row r="437" spans="1:18" ht="16" x14ac:dyDescent="0.2">
      <c r="A437" s="50"/>
      <c r="B437" s="47"/>
      <c r="C437" s="48" t="str">
        <f>IF(B437="","",IFERROR(INDEX(Tenants!$B$6:$B$35,MATCH(B437,Tenants!$A$6:$A$35,0)),"Unit not found"))</f>
        <v/>
      </c>
      <c r="D437" s="48" t="str">
        <f>IF(B437="","",IF(J437="Y","(vacant)",IFERROR(INDEX(Tenants!$C$6:$C$35,MATCH(B437,Tenants!$A$6:$A$35,0)),"")))</f>
        <v/>
      </c>
      <c r="E437" s="56"/>
      <c r="F437" s="56"/>
      <c r="G437" s="56"/>
      <c r="H437" s="50"/>
      <c r="I437" s="47"/>
      <c r="J437" s="47"/>
      <c r="K437" s="48" t="str">
        <f ca="1">IF(B437="","",IF(UPPER(J437)="Y","Vacant",IF(AND(G437&gt;0,G437&gt;=E437+F437),IF(AND(H437&lt;&gt;"",A437&lt;&gt;"",H437&gt;A437+Settings!$C$7),"Paid late","Paid"),IF(G437&gt;0,"Partial",IF(AND(A437&lt;&gt;"",TODAY()&gt;A437+Settings!$C$7),"Unpaid","Due")))))</f>
        <v/>
      </c>
      <c r="L437" s="52" t="str">
        <f t="shared" si="30"/>
        <v/>
      </c>
      <c r="M437" s="47"/>
      <c r="N437" s="48" t="str">
        <f t="shared" si="31"/>
        <v/>
      </c>
      <c r="O437" s="48" t="str">
        <f>IF(B437="","",COUNTIF($B$7:B437,B437))</f>
        <v/>
      </c>
      <c r="P437" s="48" t="str">
        <f t="shared" si="32"/>
        <v/>
      </c>
      <c r="Q437" s="48" t="str">
        <f t="shared" si="33"/>
        <v/>
      </c>
      <c r="R437" s="48" t="str">
        <f t="shared" si="34"/>
        <v/>
      </c>
    </row>
    <row r="438" spans="1:18" ht="16" x14ac:dyDescent="0.2">
      <c r="A438" s="50"/>
      <c r="B438" s="47"/>
      <c r="C438" s="48" t="str">
        <f>IF(B438="","",IFERROR(INDEX(Tenants!$B$6:$B$35,MATCH(B438,Tenants!$A$6:$A$35,0)),"Unit not found"))</f>
        <v/>
      </c>
      <c r="D438" s="48" t="str">
        <f>IF(B438="","",IF(J438="Y","(vacant)",IFERROR(INDEX(Tenants!$C$6:$C$35,MATCH(B438,Tenants!$A$6:$A$35,0)),"")))</f>
        <v/>
      </c>
      <c r="E438" s="56"/>
      <c r="F438" s="56"/>
      <c r="G438" s="56"/>
      <c r="H438" s="50"/>
      <c r="I438" s="47"/>
      <c r="J438" s="47"/>
      <c r="K438" s="48" t="str">
        <f ca="1">IF(B438="","",IF(UPPER(J438)="Y","Vacant",IF(AND(G438&gt;0,G438&gt;=E438+F438),IF(AND(H438&lt;&gt;"",A438&lt;&gt;"",H438&gt;A438+Settings!$C$7),"Paid late","Paid"),IF(G438&gt;0,"Partial",IF(AND(A438&lt;&gt;"",TODAY()&gt;A438+Settings!$C$7),"Unpaid","Due")))))</f>
        <v/>
      </c>
      <c r="L438" s="52" t="str">
        <f t="shared" si="30"/>
        <v/>
      </c>
      <c r="M438" s="47"/>
      <c r="N438" s="48" t="str">
        <f t="shared" si="31"/>
        <v/>
      </c>
      <c r="O438" s="48" t="str">
        <f>IF(B438="","",COUNTIF($B$7:B438,B438))</f>
        <v/>
      </c>
      <c r="P438" s="48" t="str">
        <f t="shared" si="32"/>
        <v/>
      </c>
      <c r="Q438" s="48" t="str">
        <f t="shared" si="33"/>
        <v/>
      </c>
      <c r="R438" s="48" t="str">
        <f t="shared" si="34"/>
        <v/>
      </c>
    </row>
    <row r="439" spans="1:18" ht="16" x14ac:dyDescent="0.2">
      <c r="A439" s="50"/>
      <c r="B439" s="47"/>
      <c r="C439" s="48" t="str">
        <f>IF(B439="","",IFERROR(INDEX(Tenants!$B$6:$B$35,MATCH(B439,Tenants!$A$6:$A$35,0)),"Unit not found"))</f>
        <v/>
      </c>
      <c r="D439" s="48" t="str">
        <f>IF(B439="","",IF(J439="Y","(vacant)",IFERROR(INDEX(Tenants!$C$6:$C$35,MATCH(B439,Tenants!$A$6:$A$35,0)),"")))</f>
        <v/>
      </c>
      <c r="E439" s="56"/>
      <c r="F439" s="56"/>
      <c r="G439" s="56"/>
      <c r="H439" s="50"/>
      <c r="I439" s="47"/>
      <c r="J439" s="47"/>
      <c r="K439" s="48" t="str">
        <f ca="1">IF(B439="","",IF(UPPER(J439)="Y","Vacant",IF(AND(G439&gt;0,G439&gt;=E439+F439),IF(AND(H439&lt;&gt;"",A439&lt;&gt;"",H439&gt;A439+Settings!$C$7),"Paid late","Paid"),IF(G439&gt;0,"Partial",IF(AND(A439&lt;&gt;"",TODAY()&gt;A439+Settings!$C$7),"Unpaid","Due")))))</f>
        <v/>
      </c>
      <c r="L439" s="52" t="str">
        <f t="shared" si="30"/>
        <v/>
      </c>
      <c r="M439" s="47"/>
      <c r="N439" s="48" t="str">
        <f t="shared" si="31"/>
        <v/>
      </c>
      <c r="O439" s="48" t="str">
        <f>IF(B439="","",COUNTIF($B$7:B439,B439))</f>
        <v/>
      </c>
      <c r="P439" s="48" t="str">
        <f t="shared" si="32"/>
        <v/>
      </c>
      <c r="Q439" s="48" t="str">
        <f t="shared" si="33"/>
        <v/>
      </c>
      <c r="R439" s="48" t="str">
        <f t="shared" si="34"/>
        <v/>
      </c>
    </row>
    <row r="440" spans="1:18" ht="16" x14ac:dyDescent="0.2">
      <c r="A440" s="50"/>
      <c r="B440" s="47"/>
      <c r="C440" s="48" t="str">
        <f>IF(B440="","",IFERROR(INDEX(Tenants!$B$6:$B$35,MATCH(B440,Tenants!$A$6:$A$35,0)),"Unit not found"))</f>
        <v/>
      </c>
      <c r="D440" s="48" t="str">
        <f>IF(B440="","",IF(J440="Y","(vacant)",IFERROR(INDEX(Tenants!$C$6:$C$35,MATCH(B440,Tenants!$A$6:$A$35,0)),"")))</f>
        <v/>
      </c>
      <c r="E440" s="56"/>
      <c r="F440" s="56"/>
      <c r="G440" s="56"/>
      <c r="H440" s="50"/>
      <c r="I440" s="47"/>
      <c r="J440" s="47"/>
      <c r="K440" s="48" t="str">
        <f ca="1">IF(B440="","",IF(UPPER(J440)="Y","Vacant",IF(AND(G440&gt;0,G440&gt;=E440+F440),IF(AND(H440&lt;&gt;"",A440&lt;&gt;"",H440&gt;A440+Settings!$C$7),"Paid late","Paid"),IF(G440&gt;0,"Partial",IF(AND(A440&lt;&gt;"",TODAY()&gt;A440+Settings!$C$7),"Unpaid","Due")))))</f>
        <v/>
      </c>
      <c r="L440" s="52" t="str">
        <f t="shared" si="30"/>
        <v/>
      </c>
      <c r="M440" s="47"/>
      <c r="N440" s="48" t="str">
        <f t="shared" si="31"/>
        <v/>
      </c>
      <c r="O440" s="48" t="str">
        <f>IF(B440="","",COUNTIF($B$7:B440,B440))</f>
        <v/>
      </c>
      <c r="P440" s="48" t="str">
        <f t="shared" si="32"/>
        <v/>
      </c>
      <c r="Q440" s="48" t="str">
        <f t="shared" si="33"/>
        <v/>
      </c>
      <c r="R440" s="48" t="str">
        <f t="shared" si="34"/>
        <v/>
      </c>
    </row>
    <row r="441" spans="1:18" ht="16" x14ac:dyDescent="0.2">
      <c r="A441" s="50"/>
      <c r="B441" s="47"/>
      <c r="C441" s="48" t="str">
        <f>IF(B441="","",IFERROR(INDEX(Tenants!$B$6:$B$35,MATCH(B441,Tenants!$A$6:$A$35,0)),"Unit not found"))</f>
        <v/>
      </c>
      <c r="D441" s="48" t="str">
        <f>IF(B441="","",IF(J441="Y","(vacant)",IFERROR(INDEX(Tenants!$C$6:$C$35,MATCH(B441,Tenants!$A$6:$A$35,0)),"")))</f>
        <v/>
      </c>
      <c r="E441" s="56"/>
      <c r="F441" s="56"/>
      <c r="G441" s="56"/>
      <c r="H441" s="50"/>
      <c r="I441" s="47"/>
      <c r="J441" s="47"/>
      <c r="K441" s="48" t="str">
        <f ca="1">IF(B441="","",IF(UPPER(J441)="Y","Vacant",IF(AND(G441&gt;0,G441&gt;=E441+F441),IF(AND(H441&lt;&gt;"",A441&lt;&gt;"",H441&gt;A441+Settings!$C$7),"Paid late","Paid"),IF(G441&gt;0,"Partial",IF(AND(A441&lt;&gt;"",TODAY()&gt;A441+Settings!$C$7),"Unpaid","Due")))))</f>
        <v/>
      </c>
      <c r="L441" s="52" t="str">
        <f t="shared" si="30"/>
        <v/>
      </c>
      <c r="M441" s="47"/>
      <c r="N441" s="48" t="str">
        <f t="shared" si="31"/>
        <v/>
      </c>
      <c r="O441" s="48" t="str">
        <f>IF(B441="","",COUNTIF($B$7:B441,B441))</f>
        <v/>
      </c>
      <c r="P441" s="48" t="str">
        <f t="shared" si="32"/>
        <v/>
      </c>
      <c r="Q441" s="48" t="str">
        <f t="shared" si="33"/>
        <v/>
      </c>
      <c r="R441" s="48" t="str">
        <f t="shared" si="34"/>
        <v/>
      </c>
    </row>
    <row r="442" spans="1:18" ht="16" x14ac:dyDescent="0.2">
      <c r="A442" s="50"/>
      <c r="B442" s="47"/>
      <c r="C442" s="48" t="str">
        <f>IF(B442="","",IFERROR(INDEX(Tenants!$B$6:$B$35,MATCH(B442,Tenants!$A$6:$A$35,0)),"Unit not found"))</f>
        <v/>
      </c>
      <c r="D442" s="48" t="str">
        <f>IF(B442="","",IF(J442="Y","(vacant)",IFERROR(INDEX(Tenants!$C$6:$C$35,MATCH(B442,Tenants!$A$6:$A$35,0)),"")))</f>
        <v/>
      </c>
      <c r="E442" s="56"/>
      <c r="F442" s="56"/>
      <c r="G442" s="56"/>
      <c r="H442" s="50"/>
      <c r="I442" s="47"/>
      <c r="J442" s="47"/>
      <c r="K442" s="48" t="str">
        <f ca="1">IF(B442="","",IF(UPPER(J442)="Y","Vacant",IF(AND(G442&gt;0,G442&gt;=E442+F442),IF(AND(H442&lt;&gt;"",A442&lt;&gt;"",H442&gt;A442+Settings!$C$7),"Paid late","Paid"),IF(G442&gt;0,"Partial",IF(AND(A442&lt;&gt;"",TODAY()&gt;A442+Settings!$C$7),"Unpaid","Due")))))</f>
        <v/>
      </c>
      <c r="L442" s="52" t="str">
        <f t="shared" si="30"/>
        <v/>
      </c>
      <c r="M442" s="47"/>
      <c r="N442" s="48" t="str">
        <f t="shared" si="31"/>
        <v/>
      </c>
      <c r="O442" s="48" t="str">
        <f>IF(B442="","",COUNTIF($B$7:B442,B442))</f>
        <v/>
      </c>
      <c r="P442" s="48" t="str">
        <f t="shared" si="32"/>
        <v/>
      </c>
      <c r="Q442" s="48" t="str">
        <f t="shared" si="33"/>
        <v/>
      </c>
      <c r="R442" s="48" t="str">
        <f t="shared" si="34"/>
        <v/>
      </c>
    </row>
    <row r="443" spans="1:18" ht="16" x14ac:dyDescent="0.2">
      <c r="A443" s="50"/>
      <c r="B443" s="47"/>
      <c r="C443" s="48" t="str">
        <f>IF(B443="","",IFERROR(INDEX(Tenants!$B$6:$B$35,MATCH(B443,Tenants!$A$6:$A$35,0)),"Unit not found"))</f>
        <v/>
      </c>
      <c r="D443" s="48" t="str">
        <f>IF(B443="","",IF(J443="Y","(vacant)",IFERROR(INDEX(Tenants!$C$6:$C$35,MATCH(B443,Tenants!$A$6:$A$35,0)),"")))</f>
        <v/>
      </c>
      <c r="E443" s="56"/>
      <c r="F443" s="56"/>
      <c r="G443" s="56"/>
      <c r="H443" s="50"/>
      <c r="I443" s="47"/>
      <c r="J443" s="47"/>
      <c r="K443" s="48" t="str">
        <f ca="1">IF(B443="","",IF(UPPER(J443)="Y","Vacant",IF(AND(G443&gt;0,G443&gt;=E443+F443),IF(AND(H443&lt;&gt;"",A443&lt;&gt;"",H443&gt;A443+Settings!$C$7),"Paid late","Paid"),IF(G443&gt;0,"Partial",IF(AND(A443&lt;&gt;"",TODAY()&gt;A443+Settings!$C$7),"Unpaid","Due")))))</f>
        <v/>
      </c>
      <c r="L443" s="52" t="str">
        <f t="shared" si="30"/>
        <v/>
      </c>
      <c r="M443" s="47"/>
      <c r="N443" s="48" t="str">
        <f t="shared" si="31"/>
        <v/>
      </c>
      <c r="O443" s="48" t="str">
        <f>IF(B443="","",COUNTIF($B$7:B443,B443))</f>
        <v/>
      </c>
      <c r="P443" s="48" t="str">
        <f t="shared" si="32"/>
        <v/>
      </c>
      <c r="Q443" s="48" t="str">
        <f t="shared" si="33"/>
        <v/>
      </c>
      <c r="R443" s="48" t="str">
        <f t="shared" si="34"/>
        <v/>
      </c>
    </row>
    <row r="444" spans="1:18" ht="16" x14ac:dyDescent="0.2">
      <c r="A444" s="50"/>
      <c r="B444" s="47"/>
      <c r="C444" s="48" t="str">
        <f>IF(B444="","",IFERROR(INDEX(Tenants!$B$6:$B$35,MATCH(B444,Tenants!$A$6:$A$35,0)),"Unit not found"))</f>
        <v/>
      </c>
      <c r="D444" s="48" t="str">
        <f>IF(B444="","",IF(J444="Y","(vacant)",IFERROR(INDEX(Tenants!$C$6:$C$35,MATCH(B444,Tenants!$A$6:$A$35,0)),"")))</f>
        <v/>
      </c>
      <c r="E444" s="56"/>
      <c r="F444" s="56"/>
      <c r="G444" s="56"/>
      <c r="H444" s="50"/>
      <c r="I444" s="47"/>
      <c r="J444" s="47"/>
      <c r="K444" s="48" t="str">
        <f ca="1">IF(B444="","",IF(UPPER(J444)="Y","Vacant",IF(AND(G444&gt;0,G444&gt;=E444+F444),IF(AND(H444&lt;&gt;"",A444&lt;&gt;"",H444&gt;A444+Settings!$C$7),"Paid late","Paid"),IF(G444&gt;0,"Partial",IF(AND(A444&lt;&gt;"",TODAY()&gt;A444+Settings!$C$7),"Unpaid","Due")))))</f>
        <v/>
      </c>
      <c r="L444" s="52" t="str">
        <f t="shared" si="30"/>
        <v/>
      </c>
      <c r="M444" s="47"/>
      <c r="N444" s="48" t="str">
        <f t="shared" si="31"/>
        <v/>
      </c>
      <c r="O444" s="48" t="str">
        <f>IF(B444="","",COUNTIF($B$7:B444,B444))</f>
        <v/>
      </c>
      <c r="P444" s="48" t="str">
        <f t="shared" si="32"/>
        <v/>
      </c>
      <c r="Q444" s="48" t="str">
        <f t="shared" si="33"/>
        <v/>
      </c>
      <c r="R444" s="48" t="str">
        <f t="shared" si="34"/>
        <v/>
      </c>
    </row>
    <row r="445" spans="1:18" ht="16" x14ac:dyDescent="0.2">
      <c r="A445" s="50"/>
      <c r="B445" s="47"/>
      <c r="C445" s="48" t="str">
        <f>IF(B445="","",IFERROR(INDEX(Tenants!$B$6:$B$35,MATCH(B445,Tenants!$A$6:$A$35,0)),"Unit not found"))</f>
        <v/>
      </c>
      <c r="D445" s="48" t="str">
        <f>IF(B445="","",IF(J445="Y","(vacant)",IFERROR(INDEX(Tenants!$C$6:$C$35,MATCH(B445,Tenants!$A$6:$A$35,0)),"")))</f>
        <v/>
      </c>
      <c r="E445" s="56"/>
      <c r="F445" s="56"/>
      <c r="G445" s="56"/>
      <c r="H445" s="50"/>
      <c r="I445" s="47"/>
      <c r="J445" s="47"/>
      <c r="K445" s="48" t="str">
        <f ca="1">IF(B445="","",IF(UPPER(J445)="Y","Vacant",IF(AND(G445&gt;0,G445&gt;=E445+F445),IF(AND(H445&lt;&gt;"",A445&lt;&gt;"",H445&gt;A445+Settings!$C$7),"Paid late","Paid"),IF(G445&gt;0,"Partial",IF(AND(A445&lt;&gt;"",TODAY()&gt;A445+Settings!$C$7),"Unpaid","Due")))))</f>
        <v/>
      </c>
      <c r="L445" s="52" t="str">
        <f t="shared" si="30"/>
        <v/>
      </c>
      <c r="M445" s="47"/>
      <c r="N445" s="48" t="str">
        <f t="shared" si="31"/>
        <v/>
      </c>
      <c r="O445" s="48" t="str">
        <f>IF(B445="","",COUNTIF($B$7:B445,B445))</f>
        <v/>
      </c>
      <c r="P445" s="48" t="str">
        <f t="shared" si="32"/>
        <v/>
      </c>
      <c r="Q445" s="48" t="str">
        <f t="shared" si="33"/>
        <v/>
      </c>
      <c r="R445" s="48" t="str">
        <f t="shared" si="34"/>
        <v/>
      </c>
    </row>
    <row r="446" spans="1:18" ht="16" x14ac:dyDescent="0.2">
      <c r="A446" s="50"/>
      <c r="B446" s="47"/>
      <c r="C446" s="48" t="str">
        <f>IF(B446="","",IFERROR(INDEX(Tenants!$B$6:$B$35,MATCH(B446,Tenants!$A$6:$A$35,0)),"Unit not found"))</f>
        <v/>
      </c>
      <c r="D446" s="48" t="str">
        <f>IF(B446="","",IF(J446="Y","(vacant)",IFERROR(INDEX(Tenants!$C$6:$C$35,MATCH(B446,Tenants!$A$6:$A$35,0)),"")))</f>
        <v/>
      </c>
      <c r="E446" s="56"/>
      <c r="F446" s="56"/>
      <c r="G446" s="56"/>
      <c r="H446" s="50"/>
      <c r="I446" s="47"/>
      <c r="J446" s="47"/>
      <c r="K446" s="48" t="str">
        <f ca="1">IF(B446="","",IF(UPPER(J446)="Y","Vacant",IF(AND(G446&gt;0,G446&gt;=E446+F446),IF(AND(H446&lt;&gt;"",A446&lt;&gt;"",H446&gt;A446+Settings!$C$7),"Paid late","Paid"),IF(G446&gt;0,"Partial",IF(AND(A446&lt;&gt;"",TODAY()&gt;A446+Settings!$C$7),"Unpaid","Due")))))</f>
        <v/>
      </c>
      <c r="L446" s="52" t="str">
        <f t="shared" si="30"/>
        <v/>
      </c>
      <c r="M446" s="47"/>
      <c r="N446" s="48" t="str">
        <f t="shared" si="31"/>
        <v/>
      </c>
      <c r="O446" s="48" t="str">
        <f>IF(B446="","",COUNTIF($B$7:B446,B446))</f>
        <v/>
      </c>
      <c r="P446" s="48" t="str">
        <f t="shared" si="32"/>
        <v/>
      </c>
      <c r="Q446" s="48" t="str">
        <f t="shared" si="33"/>
        <v/>
      </c>
      <c r="R446" s="48" t="str">
        <f t="shared" si="34"/>
        <v/>
      </c>
    </row>
    <row r="447" spans="1:18" ht="16" x14ac:dyDescent="0.2">
      <c r="A447" s="50"/>
      <c r="B447" s="47"/>
      <c r="C447" s="48" t="str">
        <f>IF(B447="","",IFERROR(INDEX(Tenants!$B$6:$B$35,MATCH(B447,Tenants!$A$6:$A$35,0)),"Unit not found"))</f>
        <v/>
      </c>
      <c r="D447" s="48" t="str">
        <f>IF(B447="","",IF(J447="Y","(vacant)",IFERROR(INDEX(Tenants!$C$6:$C$35,MATCH(B447,Tenants!$A$6:$A$35,0)),"")))</f>
        <v/>
      </c>
      <c r="E447" s="56"/>
      <c r="F447" s="56"/>
      <c r="G447" s="56"/>
      <c r="H447" s="50"/>
      <c r="I447" s="47"/>
      <c r="J447" s="47"/>
      <c r="K447" s="48" t="str">
        <f ca="1">IF(B447="","",IF(UPPER(J447)="Y","Vacant",IF(AND(G447&gt;0,G447&gt;=E447+F447),IF(AND(H447&lt;&gt;"",A447&lt;&gt;"",H447&gt;A447+Settings!$C$7),"Paid late","Paid"),IF(G447&gt;0,"Partial",IF(AND(A447&lt;&gt;"",TODAY()&gt;A447+Settings!$C$7),"Unpaid","Due")))))</f>
        <v/>
      </c>
      <c r="L447" s="52" t="str">
        <f t="shared" si="30"/>
        <v/>
      </c>
      <c r="M447" s="47"/>
      <c r="N447" s="48" t="str">
        <f t="shared" si="31"/>
        <v/>
      </c>
      <c r="O447" s="48" t="str">
        <f>IF(B447="","",COUNTIF($B$7:B447,B447))</f>
        <v/>
      </c>
      <c r="P447" s="48" t="str">
        <f t="shared" si="32"/>
        <v/>
      </c>
      <c r="Q447" s="48" t="str">
        <f t="shared" si="33"/>
        <v/>
      </c>
      <c r="R447" s="48" t="str">
        <f t="shared" si="34"/>
        <v/>
      </c>
    </row>
    <row r="448" spans="1:18" ht="16" x14ac:dyDescent="0.2">
      <c r="A448" s="50"/>
      <c r="B448" s="47"/>
      <c r="C448" s="48" t="str">
        <f>IF(B448="","",IFERROR(INDEX(Tenants!$B$6:$B$35,MATCH(B448,Tenants!$A$6:$A$35,0)),"Unit not found"))</f>
        <v/>
      </c>
      <c r="D448" s="48" t="str">
        <f>IF(B448="","",IF(J448="Y","(vacant)",IFERROR(INDEX(Tenants!$C$6:$C$35,MATCH(B448,Tenants!$A$6:$A$35,0)),"")))</f>
        <v/>
      </c>
      <c r="E448" s="56"/>
      <c r="F448" s="56"/>
      <c r="G448" s="56"/>
      <c r="H448" s="50"/>
      <c r="I448" s="47"/>
      <c r="J448" s="47"/>
      <c r="K448" s="48" t="str">
        <f ca="1">IF(B448="","",IF(UPPER(J448)="Y","Vacant",IF(AND(G448&gt;0,G448&gt;=E448+F448),IF(AND(H448&lt;&gt;"",A448&lt;&gt;"",H448&gt;A448+Settings!$C$7),"Paid late","Paid"),IF(G448&gt;0,"Partial",IF(AND(A448&lt;&gt;"",TODAY()&gt;A448+Settings!$C$7),"Unpaid","Due")))))</f>
        <v/>
      </c>
      <c r="L448" s="52" t="str">
        <f t="shared" si="30"/>
        <v/>
      </c>
      <c r="M448" s="47"/>
      <c r="N448" s="48" t="str">
        <f t="shared" si="31"/>
        <v/>
      </c>
      <c r="O448" s="48" t="str">
        <f>IF(B448="","",COUNTIF($B$7:B448,B448))</f>
        <v/>
      </c>
      <c r="P448" s="48" t="str">
        <f t="shared" si="32"/>
        <v/>
      </c>
      <c r="Q448" s="48" t="str">
        <f t="shared" si="33"/>
        <v/>
      </c>
      <c r="R448" s="48" t="str">
        <f t="shared" si="34"/>
        <v/>
      </c>
    </row>
    <row r="449" spans="1:18" ht="16" x14ac:dyDescent="0.2">
      <c r="A449" s="50"/>
      <c r="B449" s="47"/>
      <c r="C449" s="48" t="str">
        <f>IF(B449="","",IFERROR(INDEX(Tenants!$B$6:$B$35,MATCH(B449,Tenants!$A$6:$A$35,0)),"Unit not found"))</f>
        <v/>
      </c>
      <c r="D449" s="48" t="str">
        <f>IF(B449="","",IF(J449="Y","(vacant)",IFERROR(INDEX(Tenants!$C$6:$C$35,MATCH(B449,Tenants!$A$6:$A$35,0)),"")))</f>
        <v/>
      </c>
      <c r="E449" s="56"/>
      <c r="F449" s="56"/>
      <c r="G449" s="56"/>
      <c r="H449" s="50"/>
      <c r="I449" s="47"/>
      <c r="J449" s="47"/>
      <c r="K449" s="48" t="str">
        <f ca="1">IF(B449="","",IF(UPPER(J449)="Y","Vacant",IF(AND(G449&gt;0,G449&gt;=E449+F449),IF(AND(H449&lt;&gt;"",A449&lt;&gt;"",H449&gt;A449+Settings!$C$7),"Paid late","Paid"),IF(G449&gt;0,"Partial",IF(AND(A449&lt;&gt;"",TODAY()&gt;A449+Settings!$C$7),"Unpaid","Due")))))</f>
        <v/>
      </c>
      <c r="L449" s="52" t="str">
        <f t="shared" si="30"/>
        <v/>
      </c>
      <c r="M449" s="47"/>
      <c r="N449" s="48" t="str">
        <f t="shared" si="31"/>
        <v/>
      </c>
      <c r="O449" s="48" t="str">
        <f>IF(B449="","",COUNTIF($B$7:B449,B449))</f>
        <v/>
      </c>
      <c r="P449" s="48" t="str">
        <f t="shared" si="32"/>
        <v/>
      </c>
      <c r="Q449" s="48" t="str">
        <f t="shared" si="33"/>
        <v/>
      </c>
      <c r="R449" s="48" t="str">
        <f t="shared" si="34"/>
        <v/>
      </c>
    </row>
    <row r="450" spans="1:18" ht="16" x14ac:dyDescent="0.2">
      <c r="A450" s="50"/>
      <c r="B450" s="47"/>
      <c r="C450" s="48" t="str">
        <f>IF(B450="","",IFERROR(INDEX(Tenants!$B$6:$B$35,MATCH(B450,Tenants!$A$6:$A$35,0)),"Unit not found"))</f>
        <v/>
      </c>
      <c r="D450" s="48" t="str">
        <f>IF(B450="","",IF(J450="Y","(vacant)",IFERROR(INDEX(Tenants!$C$6:$C$35,MATCH(B450,Tenants!$A$6:$A$35,0)),"")))</f>
        <v/>
      </c>
      <c r="E450" s="56"/>
      <c r="F450" s="56"/>
      <c r="G450" s="56"/>
      <c r="H450" s="50"/>
      <c r="I450" s="47"/>
      <c r="J450" s="47"/>
      <c r="K450" s="48" t="str">
        <f ca="1">IF(B450="","",IF(UPPER(J450)="Y","Vacant",IF(AND(G450&gt;0,G450&gt;=E450+F450),IF(AND(H450&lt;&gt;"",A450&lt;&gt;"",H450&gt;A450+Settings!$C$7),"Paid late","Paid"),IF(G450&gt;0,"Partial",IF(AND(A450&lt;&gt;"",TODAY()&gt;A450+Settings!$C$7),"Unpaid","Due")))))</f>
        <v/>
      </c>
      <c r="L450" s="52" t="str">
        <f t="shared" si="30"/>
        <v/>
      </c>
      <c r="M450" s="47"/>
      <c r="N450" s="48" t="str">
        <f t="shared" si="31"/>
        <v/>
      </c>
      <c r="O450" s="48" t="str">
        <f>IF(B450="","",COUNTIF($B$7:B450,B450))</f>
        <v/>
      </c>
      <c r="P450" s="48" t="str">
        <f t="shared" si="32"/>
        <v/>
      </c>
      <c r="Q450" s="48" t="str">
        <f t="shared" si="33"/>
        <v/>
      </c>
      <c r="R450" s="48" t="str">
        <f t="shared" si="34"/>
        <v/>
      </c>
    </row>
    <row r="451" spans="1:18" ht="16" x14ac:dyDescent="0.2">
      <c r="A451" s="50"/>
      <c r="B451" s="47"/>
      <c r="C451" s="48" t="str">
        <f>IF(B451="","",IFERROR(INDEX(Tenants!$B$6:$B$35,MATCH(B451,Tenants!$A$6:$A$35,0)),"Unit not found"))</f>
        <v/>
      </c>
      <c r="D451" s="48" t="str">
        <f>IF(B451="","",IF(J451="Y","(vacant)",IFERROR(INDEX(Tenants!$C$6:$C$35,MATCH(B451,Tenants!$A$6:$A$35,0)),"")))</f>
        <v/>
      </c>
      <c r="E451" s="56"/>
      <c r="F451" s="56"/>
      <c r="G451" s="56"/>
      <c r="H451" s="50"/>
      <c r="I451" s="47"/>
      <c r="J451" s="47"/>
      <c r="K451" s="48" t="str">
        <f ca="1">IF(B451="","",IF(UPPER(J451)="Y","Vacant",IF(AND(G451&gt;0,G451&gt;=E451+F451),IF(AND(H451&lt;&gt;"",A451&lt;&gt;"",H451&gt;A451+Settings!$C$7),"Paid late","Paid"),IF(G451&gt;0,"Partial",IF(AND(A451&lt;&gt;"",TODAY()&gt;A451+Settings!$C$7),"Unpaid","Due")))))</f>
        <v/>
      </c>
      <c r="L451" s="52" t="str">
        <f t="shared" si="30"/>
        <v/>
      </c>
      <c r="M451" s="47"/>
      <c r="N451" s="48" t="str">
        <f t="shared" si="31"/>
        <v/>
      </c>
      <c r="O451" s="48" t="str">
        <f>IF(B451="","",COUNTIF($B$7:B451,B451))</f>
        <v/>
      </c>
      <c r="P451" s="48" t="str">
        <f t="shared" si="32"/>
        <v/>
      </c>
      <c r="Q451" s="48" t="str">
        <f t="shared" si="33"/>
        <v/>
      </c>
      <c r="R451" s="48" t="str">
        <f t="shared" si="34"/>
        <v/>
      </c>
    </row>
    <row r="452" spans="1:18" ht="16" x14ac:dyDescent="0.2">
      <c r="A452" s="50"/>
      <c r="B452" s="47"/>
      <c r="C452" s="48" t="str">
        <f>IF(B452="","",IFERROR(INDEX(Tenants!$B$6:$B$35,MATCH(B452,Tenants!$A$6:$A$35,0)),"Unit not found"))</f>
        <v/>
      </c>
      <c r="D452" s="48" t="str">
        <f>IF(B452="","",IF(J452="Y","(vacant)",IFERROR(INDEX(Tenants!$C$6:$C$35,MATCH(B452,Tenants!$A$6:$A$35,0)),"")))</f>
        <v/>
      </c>
      <c r="E452" s="56"/>
      <c r="F452" s="56"/>
      <c r="G452" s="56"/>
      <c r="H452" s="50"/>
      <c r="I452" s="47"/>
      <c r="J452" s="47"/>
      <c r="K452" s="48" t="str">
        <f ca="1">IF(B452="","",IF(UPPER(J452)="Y","Vacant",IF(AND(G452&gt;0,G452&gt;=E452+F452),IF(AND(H452&lt;&gt;"",A452&lt;&gt;"",H452&gt;A452+Settings!$C$7),"Paid late","Paid"),IF(G452&gt;0,"Partial",IF(AND(A452&lt;&gt;"",TODAY()&gt;A452+Settings!$C$7),"Unpaid","Due")))))</f>
        <v/>
      </c>
      <c r="L452" s="52" t="str">
        <f t="shared" si="30"/>
        <v/>
      </c>
      <c r="M452" s="47"/>
      <c r="N452" s="48" t="str">
        <f t="shared" si="31"/>
        <v/>
      </c>
      <c r="O452" s="48" t="str">
        <f>IF(B452="","",COUNTIF($B$7:B452,B452))</f>
        <v/>
      </c>
      <c r="P452" s="48" t="str">
        <f t="shared" si="32"/>
        <v/>
      </c>
      <c r="Q452" s="48" t="str">
        <f t="shared" si="33"/>
        <v/>
      </c>
      <c r="R452" s="48" t="str">
        <f t="shared" si="34"/>
        <v/>
      </c>
    </row>
    <row r="453" spans="1:18" ht="16" x14ac:dyDescent="0.2">
      <c r="A453" s="50"/>
      <c r="B453" s="47"/>
      <c r="C453" s="48" t="str">
        <f>IF(B453="","",IFERROR(INDEX(Tenants!$B$6:$B$35,MATCH(B453,Tenants!$A$6:$A$35,0)),"Unit not found"))</f>
        <v/>
      </c>
      <c r="D453" s="48" t="str">
        <f>IF(B453="","",IF(J453="Y","(vacant)",IFERROR(INDEX(Tenants!$C$6:$C$35,MATCH(B453,Tenants!$A$6:$A$35,0)),"")))</f>
        <v/>
      </c>
      <c r="E453" s="56"/>
      <c r="F453" s="56"/>
      <c r="G453" s="56"/>
      <c r="H453" s="50"/>
      <c r="I453" s="47"/>
      <c r="J453" s="47"/>
      <c r="K453" s="48" t="str">
        <f ca="1">IF(B453="","",IF(UPPER(J453)="Y","Vacant",IF(AND(G453&gt;0,G453&gt;=E453+F453),IF(AND(H453&lt;&gt;"",A453&lt;&gt;"",H453&gt;A453+Settings!$C$7),"Paid late","Paid"),IF(G453&gt;0,"Partial",IF(AND(A453&lt;&gt;"",TODAY()&gt;A453+Settings!$C$7),"Unpaid","Due")))))</f>
        <v/>
      </c>
      <c r="L453" s="52" t="str">
        <f t="shared" si="30"/>
        <v/>
      </c>
      <c r="M453" s="47"/>
      <c r="N453" s="48" t="str">
        <f t="shared" si="31"/>
        <v/>
      </c>
      <c r="O453" s="48" t="str">
        <f>IF(B453="","",COUNTIF($B$7:B453,B453))</f>
        <v/>
      </c>
      <c r="P453" s="48" t="str">
        <f t="shared" si="32"/>
        <v/>
      </c>
      <c r="Q453" s="48" t="str">
        <f t="shared" si="33"/>
        <v/>
      </c>
      <c r="R453" s="48" t="str">
        <f t="shared" si="34"/>
        <v/>
      </c>
    </row>
    <row r="454" spans="1:18" ht="16" x14ac:dyDescent="0.2">
      <c r="A454" s="50"/>
      <c r="B454" s="47"/>
      <c r="C454" s="48" t="str">
        <f>IF(B454="","",IFERROR(INDEX(Tenants!$B$6:$B$35,MATCH(B454,Tenants!$A$6:$A$35,0)),"Unit not found"))</f>
        <v/>
      </c>
      <c r="D454" s="48" t="str">
        <f>IF(B454="","",IF(J454="Y","(vacant)",IFERROR(INDEX(Tenants!$C$6:$C$35,MATCH(B454,Tenants!$A$6:$A$35,0)),"")))</f>
        <v/>
      </c>
      <c r="E454" s="56"/>
      <c r="F454" s="56"/>
      <c r="G454" s="56"/>
      <c r="H454" s="50"/>
      <c r="I454" s="47"/>
      <c r="J454" s="47"/>
      <c r="K454" s="48" t="str">
        <f ca="1">IF(B454="","",IF(UPPER(J454)="Y","Vacant",IF(AND(G454&gt;0,G454&gt;=E454+F454),IF(AND(H454&lt;&gt;"",A454&lt;&gt;"",H454&gt;A454+Settings!$C$7),"Paid late","Paid"),IF(G454&gt;0,"Partial",IF(AND(A454&lt;&gt;"",TODAY()&gt;A454+Settings!$C$7),"Unpaid","Due")))))</f>
        <v/>
      </c>
      <c r="L454" s="52" t="str">
        <f t="shared" si="30"/>
        <v/>
      </c>
      <c r="M454" s="47"/>
      <c r="N454" s="48" t="str">
        <f t="shared" si="31"/>
        <v/>
      </c>
      <c r="O454" s="48" t="str">
        <f>IF(B454="","",COUNTIF($B$7:B454,B454))</f>
        <v/>
      </c>
      <c r="P454" s="48" t="str">
        <f t="shared" si="32"/>
        <v/>
      </c>
      <c r="Q454" s="48" t="str">
        <f t="shared" si="33"/>
        <v/>
      </c>
      <c r="R454" s="48" t="str">
        <f t="shared" si="34"/>
        <v/>
      </c>
    </row>
    <row r="455" spans="1:18" ht="16" x14ac:dyDescent="0.2">
      <c r="A455" s="50"/>
      <c r="B455" s="47"/>
      <c r="C455" s="48" t="str">
        <f>IF(B455="","",IFERROR(INDEX(Tenants!$B$6:$B$35,MATCH(B455,Tenants!$A$6:$A$35,0)),"Unit not found"))</f>
        <v/>
      </c>
      <c r="D455" s="48" t="str">
        <f>IF(B455="","",IF(J455="Y","(vacant)",IFERROR(INDEX(Tenants!$C$6:$C$35,MATCH(B455,Tenants!$A$6:$A$35,0)),"")))</f>
        <v/>
      </c>
      <c r="E455" s="56"/>
      <c r="F455" s="56"/>
      <c r="G455" s="56"/>
      <c r="H455" s="50"/>
      <c r="I455" s="47"/>
      <c r="J455" s="47"/>
      <c r="K455" s="48" t="str">
        <f ca="1">IF(B455="","",IF(UPPER(J455)="Y","Vacant",IF(AND(G455&gt;0,G455&gt;=E455+F455),IF(AND(H455&lt;&gt;"",A455&lt;&gt;"",H455&gt;A455+Settings!$C$7),"Paid late","Paid"),IF(G455&gt;0,"Partial",IF(AND(A455&lt;&gt;"",TODAY()&gt;A455+Settings!$C$7),"Unpaid","Due")))))</f>
        <v/>
      </c>
      <c r="L455" s="52" t="str">
        <f t="shared" ref="L455:L506" si="35">IF(OR(B455="",UPPER(J455)="Y"),"",E455+F455-G455)</f>
        <v/>
      </c>
      <c r="M455" s="47"/>
      <c r="N455" s="48" t="str">
        <f t="shared" ref="N455:N506" si="36">IF(OR(B455="",G455=0,G455=""),"",YEAR(IF(H455="",A455,H455)))</f>
        <v/>
      </c>
      <c r="O455" s="48" t="str">
        <f>IF(B455="","",COUNTIF($B$7:B455,B455))</f>
        <v/>
      </c>
      <c r="P455" s="48" t="str">
        <f t="shared" ref="P455:P518" si="37">IF(B455="","",B455&amp;"|"&amp;O455)</f>
        <v/>
      </c>
      <c r="Q455" s="48" t="str">
        <f t="shared" ref="Q455:Q506" si="38">IF(OR(B455="",G455=0,G455=""),"",YEAR(IF(H455="",A455,H455))*100+MONTH(IF(H455="",A455,H455)))</f>
        <v/>
      </c>
      <c r="R455" s="48" t="str">
        <f t="shared" ref="R455:R506" si="39">IF(OR(B455="",A455=""),"",YEAR(A455))</f>
        <v/>
      </c>
    </row>
    <row r="456" spans="1:18" ht="16" x14ac:dyDescent="0.2">
      <c r="A456" s="50"/>
      <c r="B456" s="47"/>
      <c r="C456" s="48" t="str">
        <f>IF(B456="","",IFERROR(INDEX(Tenants!$B$6:$B$35,MATCH(B456,Tenants!$A$6:$A$35,0)),"Unit not found"))</f>
        <v/>
      </c>
      <c r="D456" s="48" t="str">
        <f>IF(B456="","",IF(J456="Y","(vacant)",IFERROR(INDEX(Tenants!$C$6:$C$35,MATCH(B456,Tenants!$A$6:$A$35,0)),"")))</f>
        <v/>
      </c>
      <c r="E456" s="56"/>
      <c r="F456" s="56"/>
      <c r="G456" s="56"/>
      <c r="H456" s="50"/>
      <c r="I456" s="47"/>
      <c r="J456" s="47"/>
      <c r="K456" s="48" t="str">
        <f ca="1">IF(B456="","",IF(UPPER(J456)="Y","Vacant",IF(AND(G456&gt;0,G456&gt;=E456+F456),IF(AND(H456&lt;&gt;"",A456&lt;&gt;"",H456&gt;A456+Settings!$C$7),"Paid late","Paid"),IF(G456&gt;0,"Partial",IF(AND(A456&lt;&gt;"",TODAY()&gt;A456+Settings!$C$7),"Unpaid","Due")))))</f>
        <v/>
      </c>
      <c r="L456" s="52" t="str">
        <f t="shared" si="35"/>
        <v/>
      </c>
      <c r="M456" s="47"/>
      <c r="N456" s="48" t="str">
        <f t="shared" si="36"/>
        <v/>
      </c>
      <c r="O456" s="48" t="str">
        <f>IF(B456="","",COUNTIF($B$7:B456,B456))</f>
        <v/>
      </c>
      <c r="P456" s="48" t="str">
        <f t="shared" si="37"/>
        <v/>
      </c>
      <c r="Q456" s="48" t="str">
        <f t="shared" si="38"/>
        <v/>
      </c>
      <c r="R456" s="48" t="str">
        <f t="shared" si="39"/>
        <v/>
      </c>
    </row>
    <row r="457" spans="1:18" ht="16" x14ac:dyDescent="0.2">
      <c r="A457" s="50"/>
      <c r="B457" s="47"/>
      <c r="C457" s="48" t="str">
        <f>IF(B457="","",IFERROR(INDEX(Tenants!$B$6:$B$35,MATCH(B457,Tenants!$A$6:$A$35,0)),"Unit not found"))</f>
        <v/>
      </c>
      <c r="D457" s="48" t="str">
        <f>IF(B457="","",IF(J457="Y","(vacant)",IFERROR(INDEX(Tenants!$C$6:$C$35,MATCH(B457,Tenants!$A$6:$A$35,0)),"")))</f>
        <v/>
      </c>
      <c r="E457" s="56"/>
      <c r="F457" s="56"/>
      <c r="G457" s="56"/>
      <c r="H457" s="50"/>
      <c r="I457" s="47"/>
      <c r="J457" s="47"/>
      <c r="K457" s="48" t="str">
        <f ca="1">IF(B457="","",IF(UPPER(J457)="Y","Vacant",IF(AND(G457&gt;0,G457&gt;=E457+F457),IF(AND(H457&lt;&gt;"",A457&lt;&gt;"",H457&gt;A457+Settings!$C$7),"Paid late","Paid"),IF(G457&gt;0,"Partial",IF(AND(A457&lt;&gt;"",TODAY()&gt;A457+Settings!$C$7),"Unpaid","Due")))))</f>
        <v/>
      </c>
      <c r="L457" s="52" t="str">
        <f t="shared" si="35"/>
        <v/>
      </c>
      <c r="M457" s="47"/>
      <c r="N457" s="48" t="str">
        <f t="shared" si="36"/>
        <v/>
      </c>
      <c r="O457" s="48" t="str">
        <f>IF(B457="","",COUNTIF($B$7:B457,B457))</f>
        <v/>
      </c>
      <c r="P457" s="48" t="str">
        <f t="shared" si="37"/>
        <v/>
      </c>
      <c r="Q457" s="48" t="str">
        <f t="shared" si="38"/>
        <v/>
      </c>
      <c r="R457" s="48" t="str">
        <f t="shared" si="39"/>
        <v/>
      </c>
    </row>
    <row r="458" spans="1:18" ht="16" x14ac:dyDescent="0.2">
      <c r="A458" s="50"/>
      <c r="B458" s="47"/>
      <c r="C458" s="48" t="str">
        <f>IF(B458="","",IFERROR(INDEX(Tenants!$B$6:$B$35,MATCH(B458,Tenants!$A$6:$A$35,0)),"Unit not found"))</f>
        <v/>
      </c>
      <c r="D458" s="48" t="str">
        <f>IF(B458="","",IF(J458="Y","(vacant)",IFERROR(INDEX(Tenants!$C$6:$C$35,MATCH(B458,Tenants!$A$6:$A$35,0)),"")))</f>
        <v/>
      </c>
      <c r="E458" s="56"/>
      <c r="F458" s="56"/>
      <c r="G458" s="56"/>
      <c r="H458" s="50"/>
      <c r="I458" s="47"/>
      <c r="J458" s="47"/>
      <c r="K458" s="48" t="str">
        <f ca="1">IF(B458="","",IF(UPPER(J458)="Y","Vacant",IF(AND(G458&gt;0,G458&gt;=E458+F458),IF(AND(H458&lt;&gt;"",A458&lt;&gt;"",H458&gt;A458+Settings!$C$7),"Paid late","Paid"),IF(G458&gt;0,"Partial",IF(AND(A458&lt;&gt;"",TODAY()&gt;A458+Settings!$C$7),"Unpaid","Due")))))</f>
        <v/>
      </c>
      <c r="L458" s="52" t="str">
        <f t="shared" si="35"/>
        <v/>
      </c>
      <c r="M458" s="47"/>
      <c r="N458" s="48" t="str">
        <f t="shared" si="36"/>
        <v/>
      </c>
      <c r="O458" s="48" t="str">
        <f>IF(B458="","",COUNTIF($B$7:B458,B458))</f>
        <v/>
      </c>
      <c r="P458" s="48" t="str">
        <f t="shared" si="37"/>
        <v/>
      </c>
      <c r="Q458" s="48" t="str">
        <f t="shared" si="38"/>
        <v/>
      </c>
      <c r="R458" s="48" t="str">
        <f t="shared" si="39"/>
        <v/>
      </c>
    </row>
    <row r="459" spans="1:18" ht="16" x14ac:dyDescent="0.2">
      <c r="A459" s="50"/>
      <c r="B459" s="47"/>
      <c r="C459" s="48" t="str">
        <f>IF(B459="","",IFERROR(INDEX(Tenants!$B$6:$B$35,MATCH(B459,Tenants!$A$6:$A$35,0)),"Unit not found"))</f>
        <v/>
      </c>
      <c r="D459" s="48" t="str">
        <f>IF(B459="","",IF(J459="Y","(vacant)",IFERROR(INDEX(Tenants!$C$6:$C$35,MATCH(B459,Tenants!$A$6:$A$35,0)),"")))</f>
        <v/>
      </c>
      <c r="E459" s="56"/>
      <c r="F459" s="56"/>
      <c r="G459" s="56"/>
      <c r="H459" s="50"/>
      <c r="I459" s="47"/>
      <c r="J459" s="47"/>
      <c r="K459" s="48" t="str">
        <f ca="1">IF(B459="","",IF(UPPER(J459)="Y","Vacant",IF(AND(G459&gt;0,G459&gt;=E459+F459),IF(AND(H459&lt;&gt;"",A459&lt;&gt;"",H459&gt;A459+Settings!$C$7),"Paid late","Paid"),IF(G459&gt;0,"Partial",IF(AND(A459&lt;&gt;"",TODAY()&gt;A459+Settings!$C$7),"Unpaid","Due")))))</f>
        <v/>
      </c>
      <c r="L459" s="52" t="str">
        <f t="shared" si="35"/>
        <v/>
      </c>
      <c r="M459" s="47"/>
      <c r="N459" s="48" t="str">
        <f t="shared" si="36"/>
        <v/>
      </c>
      <c r="O459" s="48" t="str">
        <f>IF(B459="","",COUNTIF($B$7:B459,B459))</f>
        <v/>
      </c>
      <c r="P459" s="48" t="str">
        <f t="shared" si="37"/>
        <v/>
      </c>
      <c r="Q459" s="48" t="str">
        <f t="shared" si="38"/>
        <v/>
      </c>
      <c r="R459" s="48" t="str">
        <f t="shared" si="39"/>
        <v/>
      </c>
    </row>
    <row r="460" spans="1:18" ht="16" x14ac:dyDescent="0.2">
      <c r="A460" s="50"/>
      <c r="B460" s="47"/>
      <c r="C460" s="48" t="str">
        <f>IF(B460="","",IFERROR(INDEX(Tenants!$B$6:$B$35,MATCH(B460,Tenants!$A$6:$A$35,0)),"Unit not found"))</f>
        <v/>
      </c>
      <c r="D460" s="48" t="str">
        <f>IF(B460="","",IF(J460="Y","(vacant)",IFERROR(INDEX(Tenants!$C$6:$C$35,MATCH(B460,Tenants!$A$6:$A$35,0)),"")))</f>
        <v/>
      </c>
      <c r="E460" s="56"/>
      <c r="F460" s="56"/>
      <c r="G460" s="56"/>
      <c r="H460" s="50"/>
      <c r="I460" s="47"/>
      <c r="J460" s="47"/>
      <c r="K460" s="48" t="str">
        <f ca="1">IF(B460="","",IF(UPPER(J460)="Y","Vacant",IF(AND(G460&gt;0,G460&gt;=E460+F460),IF(AND(H460&lt;&gt;"",A460&lt;&gt;"",H460&gt;A460+Settings!$C$7),"Paid late","Paid"),IF(G460&gt;0,"Partial",IF(AND(A460&lt;&gt;"",TODAY()&gt;A460+Settings!$C$7),"Unpaid","Due")))))</f>
        <v/>
      </c>
      <c r="L460" s="52" t="str">
        <f t="shared" si="35"/>
        <v/>
      </c>
      <c r="M460" s="47"/>
      <c r="N460" s="48" t="str">
        <f t="shared" si="36"/>
        <v/>
      </c>
      <c r="O460" s="48" t="str">
        <f>IF(B460="","",COUNTIF($B$7:B460,B460))</f>
        <v/>
      </c>
      <c r="P460" s="48" t="str">
        <f t="shared" si="37"/>
        <v/>
      </c>
      <c r="Q460" s="48" t="str">
        <f t="shared" si="38"/>
        <v/>
      </c>
      <c r="R460" s="48" t="str">
        <f t="shared" si="39"/>
        <v/>
      </c>
    </row>
    <row r="461" spans="1:18" ht="16" x14ac:dyDescent="0.2">
      <c r="A461" s="50"/>
      <c r="B461" s="47"/>
      <c r="C461" s="48" t="str">
        <f>IF(B461="","",IFERROR(INDEX(Tenants!$B$6:$B$35,MATCH(B461,Tenants!$A$6:$A$35,0)),"Unit not found"))</f>
        <v/>
      </c>
      <c r="D461" s="48" t="str">
        <f>IF(B461="","",IF(J461="Y","(vacant)",IFERROR(INDEX(Tenants!$C$6:$C$35,MATCH(B461,Tenants!$A$6:$A$35,0)),"")))</f>
        <v/>
      </c>
      <c r="E461" s="56"/>
      <c r="F461" s="56"/>
      <c r="G461" s="56"/>
      <c r="H461" s="50"/>
      <c r="I461" s="47"/>
      <c r="J461" s="47"/>
      <c r="K461" s="48" t="str">
        <f ca="1">IF(B461="","",IF(UPPER(J461)="Y","Vacant",IF(AND(G461&gt;0,G461&gt;=E461+F461),IF(AND(H461&lt;&gt;"",A461&lt;&gt;"",H461&gt;A461+Settings!$C$7),"Paid late","Paid"),IF(G461&gt;0,"Partial",IF(AND(A461&lt;&gt;"",TODAY()&gt;A461+Settings!$C$7),"Unpaid","Due")))))</f>
        <v/>
      </c>
      <c r="L461" s="52" t="str">
        <f t="shared" si="35"/>
        <v/>
      </c>
      <c r="M461" s="47"/>
      <c r="N461" s="48" t="str">
        <f t="shared" si="36"/>
        <v/>
      </c>
      <c r="O461" s="48" t="str">
        <f>IF(B461="","",COUNTIF($B$7:B461,B461))</f>
        <v/>
      </c>
      <c r="P461" s="48" t="str">
        <f t="shared" si="37"/>
        <v/>
      </c>
      <c r="Q461" s="48" t="str">
        <f t="shared" si="38"/>
        <v/>
      </c>
      <c r="R461" s="48" t="str">
        <f t="shared" si="39"/>
        <v/>
      </c>
    </row>
    <row r="462" spans="1:18" ht="16" x14ac:dyDescent="0.2">
      <c r="A462" s="50"/>
      <c r="B462" s="47"/>
      <c r="C462" s="48" t="str">
        <f>IF(B462="","",IFERROR(INDEX(Tenants!$B$6:$B$35,MATCH(B462,Tenants!$A$6:$A$35,0)),"Unit not found"))</f>
        <v/>
      </c>
      <c r="D462" s="48" t="str">
        <f>IF(B462="","",IF(J462="Y","(vacant)",IFERROR(INDEX(Tenants!$C$6:$C$35,MATCH(B462,Tenants!$A$6:$A$35,0)),"")))</f>
        <v/>
      </c>
      <c r="E462" s="56"/>
      <c r="F462" s="56"/>
      <c r="G462" s="56"/>
      <c r="H462" s="50"/>
      <c r="I462" s="47"/>
      <c r="J462" s="47"/>
      <c r="K462" s="48" t="str">
        <f ca="1">IF(B462="","",IF(UPPER(J462)="Y","Vacant",IF(AND(G462&gt;0,G462&gt;=E462+F462),IF(AND(H462&lt;&gt;"",A462&lt;&gt;"",H462&gt;A462+Settings!$C$7),"Paid late","Paid"),IF(G462&gt;0,"Partial",IF(AND(A462&lt;&gt;"",TODAY()&gt;A462+Settings!$C$7),"Unpaid","Due")))))</f>
        <v/>
      </c>
      <c r="L462" s="52" t="str">
        <f t="shared" si="35"/>
        <v/>
      </c>
      <c r="M462" s="47"/>
      <c r="N462" s="48" t="str">
        <f t="shared" si="36"/>
        <v/>
      </c>
      <c r="O462" s="48" t="str">
        <f>IF(B462="","",COUNTIF($B$7:B462,B462))</f>
        <v/>
      </c>
      <c r="P462" s="48" t="str">
        <f t="shared" si="37"/>
        <v/>
      </c>
      <c r="Q462" s="48" t="str">
        <f t="shared" si="38"/>
        <v/>
      </c>
      <c r="R462" s="48" t="str">
        <f t="shared" si="39"/>
        <v/>
      </c>
    </row>
    <row r="463" spans="1:18" ht="16" x14ac:dyDescent="0.2">
      <c r="A463" s="50"/>
      <c r="B463" s="47"/>
      <c r="C463" s="48" t="str">
        <f>IF(B463="","",IFERROR(INDEX(Tenants!$B$6:$B$35,MATCH(B463,Tenants!$A$6:$A$35,0)),"Unit not found"))</f>
        <v/>
      </c>
      <c r="D463" s="48" t="str">
        <f>IF(B463="","",IF(J463="Y","(vacant)",IFERROR(INDEX(Tenants!$C$6:$C$35,MATCH(B463,Tenants!$A$6:$A$35,0)),"")))</f>
        <v/>
      </c>
      <c r="E463" s="56"/>
      <c r="F463" s="56"/>
      <c r="G463" s="56"/>
      <c r="H463" s="50"/>
      <c r="I463" s="47"/>
      <c r="J463" s="47"/>
      <c r="K463" s="48" t="str">
        <f ca="1">IF(B463="","",IF(UPPER(J463)="Y","Vacant",IF(AND(G463&gt;0,G463&gt;=E463+F463),IF(AND(H463&lt;&gt;"",A463&lt;&gt;"",H463&gt;A463+Settings!$C$7),"Paid late","Paid"),IF(G463&gt;0,"Partial",IF(AND(A463&lt;&gt;"",TODAY()&gt;A463+Settings!$C$7),"Unpaid","Due")))))</f>
        <v/>
      </c>
      <c r="L463" s="52" t="str">
        <f t="shared" si="35"/>
        <v/>
      </c>
      <c r="M463" s="47"/>
      <c r="N463" s="48" t="str">
        <f t="shared" si="36"/>
        <v/>
      </c>
      <c r="O463" s="48" t="str">
        <f>IF(B463="","",COUNTIF($B$7:B463,B463))</f>
        <v/>
      </c>
      <c r="P463" s="48" t="str">
        <f t="shared" si="37"/>
        <v/>
      </c>
      <c r="Q463" s="48" t="str">
        <f t="shared" si="38"/>
        <v/>
      </c>
      <c r="R463" s="48" t="str">
        <f t="shared" si="39"/>
        <v/>
      </c>
    </row>
    <row r="464" spans="1:18" ht="16" x14ac:dyDescent="0.2">
      <c r="A464" s="50"/>
      <c r="B464" s="47"/>
      <c r="C464" s="48" t="str">
        <f>IF(B464="","",IFERROR(INDEX(Tenants!$B$6:$B$35,MATCH(B464,Tenants!$A$6:$A$35,0)),"Unit not found"))</f>
        <v/>
      </c>
      <c r="D464" s="48" t="str">
        <f>IF(B464="","",IF(J464="Y","(vacant)",IFERROR(INDEX(Tenants!$C$6:$C$35,MATCH(B464,Tenants!$A$6:$A$35,0)),"")))</f>
        <v/>
      </c>
      <c r="E464" s="56"/>
      <c r="F464" s="56"/>
      <c r="G464" s="56"/>
      <c r="H464" s="50"/>
      <c r="I464" s="47"/>
      <c r="J464" s="47"/>
      <c r="K464" s="48" t="str">
        <f ca="1">IF(B464="","",IF(UPPER(J464)="Y","Vacant",IF(AND(G464&gt;0,G464&gt;=E464+F464),IF(AND(H464&lt;&gt;"",A464&lt;&gt;"",H464&gt;A464+Settings!$C$7),"Paid late","Paid"),IF(G464&gt;0,"Partial",IF(AND(A464&lt;&gt;"",TODAY()&gt;A464+Settings!$C$7),"Unpaid","Due")))))</f>
        <v/>
      </c>
      <c r="L464" s="52" t="str">
        <f t="shared" si="35"/>
        <v/>
      </c>
      <c r="M464" s="47"/>
      <c r="N464" s="48" t="str">
        <f t="shared" si="36"/>
        <v/>
      </c>
      <c r="O464" s="48" t="str">
        <f>IF(B464="","",COUNTIF($B$7:B464,B464))</f>
        <v/>
      </c>
      <c r="P464" s="48" t="str">
        <f t="shared" si="37"/>
        <v/>
      </c>
      <c r="Q464" s="48" t="str">
        <f t="shared" si="38"/>
        <v/>
      </c>
      <c r="R464" s="48" t="str">
        <f t="shared" si="39"/>
        <v/>
      </c>
    </row>
    <row r="465" spans="1:18" ht="16" x14ac:dyDescent="0.2">
      <c r="A465" s="50"/>
      <c r="B465" s="47"/>
      <c r="C465" s="48" t="str">
        <f>IF(B465="","",IFERROR(INDEX(Tenants!$B$6:$B$35,MATCH(B465,Tenants!$A$6:$A$35,0)),"Unit not found"))</f>
        <v/>
      </c>
      <c r="D465" s="48" t="str">
        <f>IF(B465="","",IF(J465="Y","(vacant)",IFERROR(INDEX(Tenants!$C$6:$C$35,MATCH(B465,Tenants!$A$6:$A$35,0)),"")))</f>
        <v/>
      </c>
      <c r="E465" s="56"/>
      <c r="F465" s="56"/>
      <c r="G465" s="56"/>
      <c r="H465" s="50"/>
      <c r="I465" s="47"/>
      <c r="J465" s="47"/>
      <c r="K465" s="48" t="str">
        <f ca="1">IF(B465="","",IF(UPPER(J465)="Y","Vacant",IF(AND(G465&gt;0,G465&gt;=E465+F465),IF(AND(H465&lt;&gt;"",A465&lt;&gt;"",H465&gt;A465+Settings!$C$7),"Paid late","Paid"),IF(G465&gt;0,"Partial",IF(AND(A465&lt;&gt;"",TODAY()&gt;A465+Settings!$C$7),"Unpaid","Due")))))</f>
        <v/>
      </c>
      <c r="L465" s="52" t="str">
        <f t="shared" si="35"/>
        <v/>
      </c>
      <c r="M465" s="47"/>
      <c r="N465" s="48" t="str">
        <f t="shared" si="36"/>
        <v/>
      </c>
      <c r="O465" s="48" t="str">
        <f>IF(B465="","",COUNTIF($B$7:B465,B465))</f>
        <v/>
      </c>
      <c r="P465" s="48" t="str">
        <f t="shared" si="37"/>
        <v/>
      </c>
      <c r="Q465" s="48" t="str">
        <f t="shared" si="38"/>
        <v/>
      </c>
      <c r="R465" s="48" t="str">
        <f t="shared" si="39"/>
        <v/>
      </c>
    </row>
    <row r="466" spans="1:18" ht="16" x14ac:dyDescent="0.2">
      <c r="A466" s="50"/>
      <c r="B466" s="47"/>
      <c r="C466" s="48" t="str">
        <f>IF(B466="","",IFERROR(INDEX(Tenants!$B$6:$B$35,MATCH(B466,Tenants!$A$6:$A$35,0)),"Unit not found"))</f>
        <v/>
      </c>
      <c r="D466" s="48" t="str">
        <f>IF(B466="","",IF(J466="Y","(vacant)",IFERROR(INDEX(Tenants!$C$6:$C$35,MATCH(B466,Tenants!$A$6:$A$35,0)),"")))</f>
        <v/>
      </c>
      <c r="E466" s="56"/>
      <c r="F466" s="56"/>
      <c r="G466" s="56"/>
      <c r="H466" s="50"/>
      <c r="I466" s="47"/>
      <c r="J466" s="47"/>
      <c r="K466" s="48" t="str">
        <f ca="1">IF(B466="","",IF(UPPER(J466)="Y","Vacant",IF(AND(G466&gt;0,G466&gt;=E466+F466),IF(AND(H466&lt;&gt;"",A466&lt;&gt;"",H466&gt;A466+Settings!$C$7),"Paid late","Paid"),IF(G466&gt;0,"Partial",IF(AND(A466&lt;&gt;"",TODAY()&gt;A466+Settings!$C$7),"Unpaid","Due")))))</f>
        <v/>
      </c>
      <c r="L466" s="52" t="str">
        <f t="shared" si="35"/>
        <v/>
      </c>
      <c r="M466" s="47"/>
      <c r="N466" s="48" t="str">
        <f t="shared" si="36"/>
        <v/>
      </c>
      <c r="O466" s="48" t="str">
        <f>IF(B466="","",COUNTIF($B$7:B466,B466))</f>
        <v/>
      </c>
      <c r="P466" s="48" t="str">
        <f t="shared" si="37"/>
        <v/>
      </c>
      <c r="Q466" s="48" t="str">
        <f t="shared" si="38"/>
        <v/>
      </c>
      <c r="R466" s="48" t="str">
        <f t="shared" si="39"/>
        <v/>
      </c>
    </row>
    <row r="467" spans="1:18" ht="16" x14ac:dyDescent="0.2">
      <c r="A467" s="50"/>
      <c r="B467" s="47"/>
      <c r="C467" s="48" t="str">
        <f>IF(B467="","",IFERROR(INDEX(Tenants!$B$6:$B$35,MATCH(B467,Tenants!$A$6:$A$35,0)),"Unit not found"))</f>
        <v/>
      </c>
      <c r="D467" s="48" t="str">
        <f>IF(B467="","",IF(J467="Y","(vacant)",IFERROR(INDEX(Tenants!$C$6:$C$35,MATCH(B467,Tenants!$A$6:$A$35,0)),"")))</f>
        <v/>
      </c>
      <c r="E467" s="56"/>
      <c r="F467" s="56"/>
      <c r="G467" s="56"/>
      <c r="H467" s="50"/>
      <c r="I467" s="47"/>
      <c r="J467" s="47"/>
      <c r="K467" s="48" t="str">
        <f ca="1">IF(B467="","",IF(UPPER(J467)="Y","Vacant",IF(AND(G467&gt;0,G467&gt;=E467+F467),IF(AND(H467&lt;&gt;"",A467&lt;&gt;"",H467&gt;A467+Settings!$C$7),"Paid late","Paid"),IF(G467&gt;0,"Partial",IF(AND(A467&lt;&gt;"",TODAY()&gt;A467+Settings!$C$7),"Unpaid","Due")))))</f>
        <v/>
      </c>
      <c r="L467" s="52" t="str">
        <f t="shared" si="35"/>
        <v/>
      </c>
      <c r="M467" s="47"/>
      <c r="N467" s="48" t="str">
        <f t="shared" si="36"/>
        <v/>
      </c>
      <c r="O467" s="48" t="str">
        <f>IF(B467="","",COUNTIF($B$7:B467,B467))</f>
        <v/>
      </c>
      <c r="P467" s="48" t="str">
        <f t="shared" si="37"/>
        <v/>
      </c>
      <c r="Q467" s="48" t="str">
        <f t="shared" si="38"/>
        <v/>
      </c>
      <c r="R467" s="48" t="str">
        <f t="shared" si="39"/>
        <v/>
      </c>
    </row>
    <row r="468" spans="1:18" ht="16" x14ac:dyDescent="0.2">
      <c r="A468" s="50"/>
      <c r="B468" s="47"/>
      <c r="C468" s="48" t="str">
        <f>IF(B468="","",IFERROR(INDEX(Tenants!$B$6:$B$35,MATCH(B468,Tenants!$A$6:$A$35,0)),"Unit not found"))</f>
        <v/>
      </c>
      <c r="D468" s="48" t="str">
        <f>IF(B468="","",IF(J468="Y","(vacant)",IFERROR(INDEX(Tenants!$C$6:$C$35,MATCH(B468,Tenants!$A$6:$A$35,0)),"")))</f>
        <v/>
      </c>
      <c r="E468" s="56"/>
      <c r="F468" s="56"/>
      <c r="G468" s="56"/>
      <c r="H468" s="50"/>
      <c r="I468" s="47"/>
      <c r="J468" s="47"/>
      <c r="K468" s="48" t="str">
        <f ca="1">IF(B468="","",IF(UPPER(J468)="Y","Vacant",IF(AND(G468&gt;0,G468&gt;=E468+F468),IF(AND(H468&lt;&gt;"",A468&lt;&gt;"",H468&gt;A468+Settings!$C$7),"Paid late","Paid"),IF(G468&gt;0,"Partial",IF(AND(A468&lt;&gt;"",TODAY()&gt;A468+Settings!$C$7),"Unpaid","Due")))))</f>
        <v/>
      </c>
      <c r="L468" s="52" t="str">
        <f t="shared" si="35"/>
        <v/>
      </c>
      <c r="M468" s="47"/>
      <c r="N468" s="48" t="str">
        <f t="shared" si="36"/>
        <v/>
      </c>
      <c r="O468" s="48" t="str">
        <f>IF(B468="","",COUNTIF($B$7:B468,B468))</f>
        <v/>
      </c>
      <c r="P468" s="48" t="str">
        <f t="shared" si="37"/>
        <v/>
      </c>
      <c r="Q468" s="48" t="str">
        <f t="shared" si="38"/>
        <v/>
      </c>
      <c r="R468" s="48" t="str">
        <f t="shared" si="39"/>
        <v/>
      </c>
    </row>
    <row r="469" spans="1:18" ht="16" x14ac:dyDescent="0.2">
      <c r="A469" s="50"/>
      <c r="B469" s="47"/>
      <c r="C469" s="48" t="str">
        <f>IF(B469="","",IFERROR(INDEX(Tenants!$B$6:$B$35,MATCH(B469,Tenants!$A$6:$A$35,0)),"Unit not found"))</f>
        <v/>
      </c>
      <c r="D469" s="48" t="str">
        <f>IF(B469="","",IF(J469="Y","(vacant)",IFERROR(INDEX(Tenants!$C$6:$C$35,MATCH(B469,Tenants!$A$6:$A$35,0)),"")))</f>
        <v/>
      </c>
      <c r="E469" s="56"/>
      <c r="F469" s="56"/>
      <c r="G469" s="56"/>
      <c r="H469" s="50"/>
      <c r="I469" s="47"/>
      <c r="J469" s="47"/>
      <c r="K469" s="48" t="str">
        <f ca="1">IF(B469="","",IF(UPPER(J469)="Y","Vacant",IF(AND(G469&gt;0,G469&gt;=E469+F469),IF(AND(H469&lt;&gt;"",A469&lt;&gt;"",H469&gt;A469+Settings!$C$7),"Paid late","Paid"),IF(G469&gt;0,"Partial",IF(AND(A469&lt;&gt;"",TODAY()&gt;A469+Settings!$C$7),"Unpaid","Due")))))</f>
        <v/>
      </c>
      <c r="L469" s="52" t="str">
        <f t="shared" si="35"/>
        <v/>
      </c>
      <c r="M469" s="47"/>
      <c r="N469" s="48" t="str">
        <f t="shared" si="36"/>
        <v/>
      </c>
      <c r="O469" s="48" t="str">
        <f>IF(B469="","",COUNTIF($B$7:B469,B469))</f>
        <v/>
      </c>
      <c r="P469" s="48" t="str">
        <f t="shared" si="37"/>
        <v/>
      </c>
      <c r="Q469" s="48" t="str">
        <f t="shared" si="38"/>
        <v/>
      </c>
      <c r="R469" s="48" t="str">
        <f t="shared" si="39"/>
        <v/>
      </c>
    </row>
    <row r="470" spans="1:18" ht="16" x14ac:dyDescent="0.2">
      <c r="A470" s="50"/>
      <c r="B470" s="47"/>
      <c r="C470" s="48" t="str">
        <f>IF(B470="","",IFERROR(INDEX(Tenants!$B$6:$B$35,MATCH(B470,Tenants!$A$6:$A$35,0)),"Unit not found"))</f>
        <v/>
      </c>
      <c r="D470" s="48" t="str">
        <f>IF(B470="","",IF(J470="Y","(vacant)",IFERROR(INDEX(Tenants!$C$6:$C$35,MATCH(B470,Tenants!$A$6:$A$35,0)),"")))</f>
        <v/>
      </c>
      <c r="E470" s="56"/>
      <c r="F470" s="56"/>
      <c r="G470" s="56"/>
      <c r="H470" s="50"/>
      <c r="I470" s="47"/>
      <c r="J470" s="47"/>
      <c r="K470" s="48" t="str">
        <f ca="1">IF(B470="","",IF(UPPER(J470)="Y","Vacant",IF(AND(G470&gt;0,G470&gt;=E470+F470),IF(AND(H470&lt;&gt;"",A470&lt;&gt;"",H470&gt;A470+Settings!$C$7),"Paid late","Paid"),IF(G470&gt;0,"Partial",IF(AND(A470&lt;&gt;"",TODAY()&gt;A470+Settings!$C$7),"Unpaid","Due")))))</f>
        <v/>
      </c>
      <c r="L470" s="52" t="str">
        <f t="shared" si="35"/>
        <v/>
      </c>
      <c r="M470" s="47"/>
      <c r="N470" s="48" t="str">
        <f t="shared" si="36"/>
        <v/>
      </c>
      <c r="O470" s="48" t="str">
        <f>IF(B470="","",COUNTIF($B$7:B470,B470))</f>
        <v/>
      </c>
      <c r="P470" s="48" t="str">
        <f t="shared" si="37"/>
        <v/>
      </c>
      <c r="Q470" s="48" t="str">
        <f t="shared" si="38"/>
        <v/>
      </c>
      <c r="R470" s="48" t="str">
        <f t="shared" si="39"/>
        <v/>
      </c>
    </row>
    <row r="471" spans="1:18" ht="16" x14ac:dyDescent="0.2">
      <c r="A471" s="50"/>
      <c r="B471" s="47"/>
      <c r="C471" s="48" t="str">
        <f>IF(B471="","",IFERROR(INDEX(Tenants!$B$6:$B$35,MATCH(B471,Tenants!$A$6:$A$35,0)),"Unit not found"))</f>
        <v/>
      </c>
      <c r="D471" s="48" t="str">
        <f>IF(B471="","",IF(J471="Y","(vacant)",IFERROR(INDEX(Tenants!$C$6:$C$35,MATCH(B471,Tenants!$A$6:$A$35,0)),"")))</f>
        <v/>
      </c>
      <c r="E471" s="56"/>
      <c r="F471" s="56"/>
      <c r="G471" s="56"/>
      <c r="H471" s="50"/>
      <c r="I471" s="47"/>
      <c r="J471" s="47"/>
      <c r="K471" s="48" t="str">
        <f ca="1">IF(B471="","",IF(UPPER(J471)="Y","Vacant",IF(AND(G471&gt;0,G471&gt;=E471+F471),IF(AND(H471&lt;&gt;"",A471&lt;&gt;"",H471&gt;A471+Settings!$C$7),"Paid late","Paid"),IF(G471&gt;0,"Partial",IF(AND(A471&lt;&gt;"",TODAY()&gt;A471+Settings!$C$7),"Unpaid","Due")))))</f>
        <v/>
      </c>
      <c r="L471" s="52" t="str">
        <f t="shared" si="35"/>
        <v/>
      </c>
      <c r="M471" s="47"/>
      <c r="N471" s="48" t="str">
        <f t="shared" si="36"/>
        <v/>
      </c>
      <c r="O471" s="48" t="str">
        <f>IF(B471="","",COUNTIF($B$7:B471,B471))</f>
        <v/>
      </c>
      <c r="P471" s="48" t="str">
        <f t="shared" si="37"/>
        <v/>
      </c>
      <c r="Q471" s="48" t="str">
        <f t="shared" si="38"/>
        <v/>
      </c>
      <c r="R471" s="48" t="str">
        <f t="shared" si="39"/>
        <v/>
      </c>
    </row>
    <row r="472" spans="1:18" ht="16" x14ac:dyDescent="0.2">
      <c r="A472" s="50"/>
      <c r="B472" s="47"/>
      <c r="C472" s="48" t="str">
        <f>IF(B472="","",IFERROR(INDEX(Tenants!$B$6:$B$35,MATCH(B472,Tenants!$A$6:$A$35,0)),"Unit not found"))</f>
        <v/>
      </c>
      <c r="D472" s="48" t="str">
        <f>IF(B472="","",IF(J472="Y","(vacant)",IFERROR(INDEX(Tenants!$C$6:$C$35,MATCH(B472,Tenants!$A$6:$A$35,0)),"")))</f>
        <v/>
      </c>
      <c r="E472" s="56"/>
      <c r="F472" s="56"/>
      <c r="G472" s="56"/>
      <c r="H472" s="50"/>
      <c r="I472" s="47"/>
      <c r="J472" s="47"/>
      <c r="K472" s="48" t="str">
        <f ca="1">IF(B472="","",IF(UPPER(J472)="Y","Vacant",IF(AND(G472&gt;0,G472&gt;=E472+F472),IF(AND(H472&lt;&gt;"",A472&lt;&gt;"",H472&gt;A472+Settings!$C$7),"Paid late","Paid"),IF(G472&gt;0,"Partial",IF(AND(A472&lt;&gt;"",TODAY()&gt;A472+Settings!$C$7),"Unpaid","Due")))))</f>
        <v/>
      </c>
      <c r="L472" s="52" t="str">
        <f t="shared" si="35"/>
        <v/>
      </c>
      <c r="M472" s="47"/>
      <c r="N472" s="48" t="str">
        <f t="shared" si="36"/>
        <v/>
      </c>
      <c r="O472" s="48" t="str">
        <f>IF(B472="","",COUNTIF($B$7:B472,B472))</f>
        <v/>
      </c>
      <c r="P472" s="48" t="str">
        <f t="shared" si="37"/>
        <v/>
      </c>
      <c r="Q472" s="48" t="str">
        <f t="shared" si="38"/>
        <v/>
      </c>
      <c r="R472" s="48" t="str">
        <f t="shared" si="39"/>
        <v/>
      </c>
    </row>
    <row r="473" spans="1:18" ht="16" x14ac:dyDescent="0.2">
      <c r="A473" s="50"/>
      <c r="B473" s="47"/>
      <c r="C473" s="48" t="str">
        <f>IF(B473="","",IFERROR(INDEX(Tenants!$B$6:$B$35,MATCH(B473,Tenants!$A$6:$A$35,0)),"Unit not found"))</f>
        <v/>
      </c>
      <c r="D473" s="48" t="str">
        <f>IF(B473="","",IF(J473="Y","(vacant)",IFERROR(INDEX(Tenants!$C$6:$C$35,MATCH(B473,Tenants!$A$6:$A$35,0)),"")))</f>
        <v/>
      </c>
      <c r="E473" s="56"/>
      <c r="F473" s="56"/>
      <c r="G473" s="56"/>
      <c r="H473" s="50"/>
      <c r="I473" s="47"/>
      <c r="J473" s="47"/>
      <c r="K473" s="48" t="str">
        <f ca="1">IF(B473="","",IF(UPPER(J473)="Y","Vacant",IF(AND(G473&gt;0,G473&gt;=E473+F473),IF(AND(H473&lt;&gt;"",A473&lt;&gt;"",H473&gt;A473+Settings!$C$7),"Paid late","Paid"),IF(G473&gt;0,"Partial",IF(AND(A473&lt;&gt;"",TODAY()&gt;A473+Settings!$C$7),"Unpaid","Due")))))</f>
        <v/>
      </c>
      <c r="L473" s="52" t="str">
        <f t="shared" si="35"/>
        <v/>
      </c>
      <c r="M473" s="47"/>
      <c r="N473" s="48" t="str">
        <f t="shared" si="36"/>
        <v/>
      </c>
      <c r="O473" s="48" t="str">
        <f>IF(B473="","",COUNTIF($B$7:B473,B473))</f>
        <v/>
      </c>
      <c r="P473" s="48" t="str">
        <f t="shared" si="37"/>
        <v/>
      </c>
      <c r="Q473" s="48" t="str">
        <f t="shared" si="38"/>
        <v/>
      </c>
      <c r="R473" s="48" t="str">
        <f t="shared" si="39"/>
        <v/>
      </c>
    </row>
    <row r="474" spans="1:18" ht="16" x14ac:dyDescent="0.2">
      <c r="A474" s="50"/>
      <c r="B474" s="47"/>
      <c r="C474" s="48" t="str">
        <f>IF(B474="","",IFERROR(INDEX(Tenants!$B$6:$B$35,MATCH(B474,Tenants!$A$6:$A$35,0)),"Unit not found"))</f>
        <v/>
      </c>
      <c r="D474" s="48" t="str">
        <f>IF(B474="","",IF(J474="Y","(vacant)",IFERROR(INDEX(Tenants!$C$6:$C$35,MATCH(B474,Tenants!$A$6:$A$35,0)),"")))</f>
        <v/>
      </c>
      <c r="E474" s="56"/>
      <c r="F474" s="56"/>
      <c r="G474" s="56"/>
      <c r="H474" s="50"/>
      <c r="I474" s="47"/>
      <c r="J474" s="47"/>
      <c r="K474" s="48" t="str">
        <f ca="1">IF(B474="","",IF(UPPER(J474)="Y","Vacant",IF(AND(G474&gt;0,G474&gt;=E474+F474),IF(AND(H474&lt;&gt;"",A474&lt;&gt;"",H474&gt;A474+Settings!$C$7),"Paid late","Paid"),IF(G474&gt;0,"Partial",IF(AND(A474&lt;&gt;"",TODAY()&gt;A474+Settings!$C$7),"Unpaid","Due")))))</f>
        <v/>
      </c>
      <c r="L474" s="52" t="str">
        <f t="shared" si="35"/>
        <v/>
      </c>
      <c r="M474" s="47"/>
      <c r="N474" s="48" t="str">
        <f t="shared" si="36"/>
        <v/>
      </c>
      <c r="O474" s="48" t="str">
        <f>IF(B474="","",COUNTIF($B$7:B474,B474))</f>
        <v/>
      </c>
      <c r="P474" s="48" t="str">
        <f t="shared" si="37"/>
        <v/>
      </c>
      <c r="Q474" s="48" t="str">
        <f t="shared" si="38"/>
        <v/>
      </c>
      <c r="R474" s="48" t="str">
        <f t="shared" si="39"/>
        <v/>
      </c>
    </row>
    <row r="475" spans="1:18" ht="16" x14ac:dyDescent="0.2">
      <c r="A475" s="50"/>
      <c r="B475" s="47"/>
      <c r="C475" s="48" t="str">
        <f>IF(B475="","",IFERROR(INDEX(Tenants!$B$6:$B$35,MATCH(B475,Tenants!$A$6:$A$35,0)),"Unit not found"))</f>
        <v/>
      </c>
      <c r="D475" s="48" t="str">
        <f>IF(B475="","",IF(J475="Y","(vacant)",IFERROR(INDEX(Tenants!$C$6:$C$35,MATCH(B475,Tenants!$A$6:$A$35,0)),"")))</f>
        <v/>
      </c>
      <c r="E475" s="56"/>
      <c r="F475" s="56"/>
      <c r="G475" s="56"/>
      <c r="H475" s="50"/>
      <c r="I475" s="47"/>
      <c r="J475" s="47"/>
      <c r="K475" s="48" t="str">
        <f ca="1">IF(B475="","",IF(UPPER(J475)="Y","Vacant",IF(AND(G475&gt;0,G475&gt;=E475+F475),IF(AND(H475&lt;&gt;"",A475&lt;&gt;"",H475&gt;A475+Settings!$C$7),"Paid late","Paid"),IF(G475&gt;0,"Partial",IF(AND(A475&lt;&gt;"",TODAY()&gt;A475+Settings!$C$7),"Unpaid","Due")))))</f>
        <v/>
      </c>
      <c r="L475" s="52" t="str">
        <f t="shared" si="35"/>
        <v/>
      </c>
      <c r="M475" s="47"/>
      <c r="N475" s="48" t="str">
        <f t="shared" si="36"/>
        <v/>
      </c>
      <c r="O475" s="48" t="str">
        <f>IF(B475="","",COUNTIF($B$7:B475,B475))</f>
        <v/>
      </c>
      <c r="P475" s="48" t="str">
        <f t="shared" si="37"/>
        <v/>
      </c>
      <c r="Q475" s="48" t="str">
        <f t="shared" si="38"/>
        <v/>
      </c>
      <c r="R475" s="48" t="str">
        <f t="shared" si="39"/>
        <v/>
      </c>
    </row>
    <row r="476" spans="1:18" ht="16" x14ac:dyDescent="0.2">
      <c r="A476" s="50"/>
      <c r="B476" s="47"/>
      <c r="C476" s="48" t="str">
        <f>IF(B476="","",IFERROR(INDEX(Tenants!$B$6:$B$35,MATCH(B476,Tenants!$A$6:$A$35,0)),"Unit not found"))</f>
        <v/>
      </c>
      <c r="D476" s="48" t="str">
        <f>IF(B476="","",IF(J476="Y","(vacant)",IFERROR(INDEX(Tenants!$C$6:$C$35,MATCH(B476,Tenants!$A$6:$A$35,0)),"")))</f>
        <v/>
      </c>
      <c r="E476" s="56"/>
      <c r="F476" s="56"/>
      <c r="G476" s="56"/>
      <c r="H476" s="50"/>
      <c r="I476" s="47"/>
      <c r="J476" s="47"/>
      <c r="K476" s="48" t="str">
        <f ca="1">IF(B476="","",IF(UPPER(J476)="Y","Vacant",IF(AND(G476&gt;0,G476&gt;=E476+F476),IF(AND(H476&lt;&gt;"",A476&lt;&gt;"",H476&gt;A476+Settings!$C$7),"Paid late","Paid"),IF(G476&gt;0,"Partial",IF(AND(A476&lt;&gt;"",TODAY()&gt;A476+Settings!$C$7),"Unpaid","Due")))))</f>
        <v/>
      </c>
      <c r="L476" s="52" t="str">
        <f t="shared" si="35"/>
        <v/>
      </c>
      <c r="M476" s="47"/>
      <c r="N476" s="48" t="str">
        <f t="shared" si="36"/>
        <v/>
      </c>
      <c r="O476" s="48" t="str">
        <f>IF(B476="","",COUNTIF($B$7:B476,B476))</f>
        <v/>
      </c>
      <c r="P476" s="48" t="str">
        <f t="shared" si="37"/>
        <v/>
      </c>
      <c r="Q476" s="48" t="str">
        <f t="shared" si="38"/>
        <v/>
      </c>
      <c r="R476" s="48" t="str">
        <f t="shared" si="39"/>
        <v/>
      </c>
    </row>
    <row r="477" spans="1:18" ht="16" x14ac:dyDescent="0.2">
      <c r="A477" s="50"/>
      <c r="B477" s="47"/>
      <c r="C477" s="48" t="str">
        <f>IF(B477="","",IFERROR(INDEX(Tenants!$B$6:$B$35,MATCH(B477,Tenants!$A$6:$A$35,0)),"Unit not found"))</f>
        <v/>
      </c>
      <c r="D477" s="48" t="str">
        <f>IF(B477="","",IF(J477="Y","(vacant)",IFERROR(INDEX(Tenants!$C$6:$C$35,MATCH(B477,Tenants!$A$6:$A$35,0)),"")))</f>
        <v/>
      </c>
      <c r="E477" s="56"/>
      <c r="F477" s="56"/>
      <c r="G477" s="56"/>
      <c r="H477" s="50"/>
      <c r="I477" s="47"/>
      <c r="J477" s="47"/>
      <c r="K477" s="48" t="str">
        <f ca="1">IF(B477="","",IF(UPPER(J477)="Y","Vacant",IF(AND(G477&gt;0,G477&gt;=E477+F477),IF(AND(H477&lt;&gt;"",A477&lt;&gt;"",H477&gt;A477+Settings!$C$7),"Paid late","Paid"),IF(G477&gt;0,"Partial",IF(AND(A477&lt;&gt;"",TODAY()&gt;A477+Settings!$C$7),"Unpaid","Due")))))</f>
        <v/>
      </c>
      <c r="L477" s="52" t="str">
        <f t="shared" si="35"/>
        <v/>
      </c>
      <c r="M477" s="47"/>
      <c r="N477" s="48" t="str">
        <f t="shared" si="36"/>
        <v/>
      </c>
      <c r="O477" s="48" t="str">
        <f>IF(B477="","",COUNTIF($B$7:B477,B477))</f>
        <v/>
      </c>
      <c r="P477" s="48" t="str">
        <f t="shared" si="37"/>
        <v/>
      </c>
      <c r="Q477" s="48" t="str">
        <f t="shared" si="38"/>
        <v/>
      </c>
      <c r="R477" s="48" t="str">
        <f t="shared" si="39"/>
        <v/>
      </c>
    </row>
    <row r="478" spans="1:18" ht="16" x14ac:dyDescent="0.2">
      <c r="A478" s="50"/>
      <c r="B478" s="47"/>
      <c r="C478" s="48" t="str">
        <f>IF(B478="","",IFERROR(INDEX(Tenants!$B$6:$B$35,MATCH(B478,Tenants!$A$6:$A$35,0)),"Unit not found"))</f>
        <v/>
      </c>
      <c r="D478" s="48" t="str">
        <f>IF(B478="","",IF(J478="Y","(vacant)",IFERROR(INDEX(Tenants!$C$6:$C$35,MATCH(B478,Tenants!$A$6:$A$35,0)),"")))</f>
        <v/>
      </c>
      <c r="E478" s="56"/>
      <c r="F478" s="56"/>
      <c r="G478" s="56"/>
      <c r="H478" s="50"/>
      <c r="I478" s="47"/>
      <c r="J478" s="47"/>
      <c r="K478" s="48" t="str">
        <f ca="1">IF(B478="","",IF(UPPER(J478)="Y","Vacant",IF(AND(G478&gt;0,G478&gt;=E478+F478),IF(AND(H478&lt;&gt;"",A478&lt;&gt;"",H478&gt;A478+Settings!$C$7),"Paid late","Paid"),IF(G478&gt;0,"Partial",IF(AND(A478&lt;&gt;"",TODAY()&gt;A478+Settings!$C$7),"Unpaid","Due")))))</f>
        <v/>
      </c>
      <c r="L478" s="52" t="str">
        <f t="shared" si="35"/>
        <v/>
      </c>
      <c r="M478" s="47"/>
      <c r="N478" s="48" t="str">
        <f t="shared" si="36"/>
        <v/>
      </c>
      <c r="O478" s="48" t="str">
        <f>IF(B478="","",COUNTIF($B$7:B478,B478))</f>
        <v/>
      </c>
      <c r="P478" s="48" t="str">
        <f t="shared" si="37"/>
        <v/>
      </c>
      <c r="Q478" s="48" t="str">
        <f t="shared" si="38"/>
        <v/>
      </c>
      <c r="R478" s="48" t="str">
        <f t="shared" si="39"/>
        <v/>
      </c>
    </row>
    <row r="479" spans="1:18" ht="16" x14ac:dyDescent="0.2">
      <c r="A479" s="50"/>
      <c r="B479" s="47"/>
      <c r="C479" s="48" t="str">
        <f>IF(B479="","",IFERROR(INDEX(Tenants!$B$6:$B$35,MATCH(B479,Tenants!$A$6:$A$35,0)),"Unit not found"))</f>
        <v/>
      </c>
      <c r="D479" s="48" t="str">
        <f>IF(B479="","",IF(J479="Y","(vacant)",IFERROR(INDEX(Tenants!$C$6:$C$35,MATCH(B479,Tenants!$A$6:$A$35,0)),"")))</f>
        <v/>
      </c>
      <c r="E479" s="56"/>
      <c r="F479" s="56"/>
      <c r="G479" s="56"/>
      <c r="H479" s="50"/>
      <c r="I479" s="47"/>
      <c r="J479" s="47"/>
      <c r="K479" s="48" t="str">
        <f ca="1">IF(B479="","",IF(UPPER(J479)="Y","Vacant",IF(AND(G479&gt;0,G479&gt;=E479+F479),IF(AND(H479&lt;&gt;"",A479&lt;&gt;"",H479&gt;A479+Settings!$C$7),"Paid late","Paid"),IF(G479&gt;0,"Partial",IF(AND(A479&lt;&gt;"",TODAY()&gt;A479+Settings!$C$7),"Unpaid","Due")))))</f>
        <v/>
      </c>
      <c r="L479" s="52" t="str">
        <f t="shared" si="35"/>
        <v/>
      </c>
      <c r="M479" s="47"/>
      <c r="N479" s="48" t="str">
        <f t="shared" si="36"/>
        <v/>
      </c>
      <c r="O479" s="48" t="str">
        <f>IF(B479="","",COUNTIF($B$7:B479,B479))</f>
        <v/>
      </c>
      <c r="P479" s="48" t="str">
        <f t="shared" si="37"/>
        <v/>
      </c>
      <c r="Q479" s="48" t="str">
        <f t="shared" si="38"/>
        <v/>
      </c>
      <c r="R479" s="48" t="str">
        <f t="shared" si="39"/>
        <v/>
      </c>
    </row>
    <row r="480" spans="1:18" ht="16" x14ac:dyDescent="0.2">
      <c r="A480" s="50"/>
      <c r="B480" s="47"/>
      <c r="C480" s="48" t="str">
        <f>IF(B480="","",IFERROR(INDEX(Tenants!$B$6:$B$35,MATCH(B480,Tenants!$A$6:$A$35,0)),"Unit not found"))</f>
        <v/>
      </c>
      <c r="D480" s="48" t="str">
        <f>IF(B480="","",IF(J480="Y","(vacant)",IFERROR(INDEX(Tenants!$C$6:$C$35,MATCH(B480,Tenants!$A$6:$A$35,0)),"")))</f>
        <v/>
      </c>
      <c r="E480" s="56"/>
      <c r="F480" s="56"/>
      <c r="G480" s="56"/>
      <c r="H480" s="50"/>
      <c r="I480" s="47"/>
      <c r="J480" s="47"/>
      <c r="K480" s="48" t="str">
        <f ca="1">IF(B480="","",IF(UPPER(J480)="Y","Vacant",IF(AND(G480&gt;0,G480&gt;=E480+F480),IF(AND(H480&lt;&gt;"",A480&lt;&gt;"",H480&gt;A480+Settings!$C$7),"Paid late","Paid"),IF(G480&gt;0,"Partial",IF(AND(A480&lt;&gt;"",TODAY()&gt;A480+Settings!$C$7),"Unpaid","Due")))))</f>
        <v/>
      </c>
      <c r="L480" s="52" t="str">
        <f t="shared" si="35"/>
        <v/>
      </c>
      <c r="M480" s="47"/>
      <c r="N480" s="48" t="str">
        <f t="shared" si="36"/>
        <v/>
      </c>
      <c r="O480" s="48" t="str">
        <f>IF(B480="","",COUNTIF($B$7:B480,B480))</f>
        <v/>
      </c>
      <c r="P480" s="48" t="str">
        <f t="shared" si="37"/>
        <v/>
      </c>
      <c r="Q480" s="48" t="str">
        <f t="shared" si="38"/>
        <v/>
      </c>
      <c r="R480" s="48" t="str">
        <f t="shared" si="39"/>
        <v/>
      </c>
    </row>
    <row r="481" spans="1:18" ht="16" x14ac:dyDescent="0.2">
      <c r="A481" s="50"/>
      <c r="B481" s="47"/>
      <c r="C481" s="48" t="str">
        <f>IF(B481="","",IFERROR(INDEX(Tenants!$B$6:$B$35,MATCH(B481,Tenants!$A$6:$A$35,0)),"Unit not found"))</f>
        <v/>
      </c>
      <c r="D481" s="48" t="str">
        <f>IF(B481="","",IF(J481="Y","(vacant)",IFERROR(INDEX(Tenants!$C$6:$C$35,MATCH(B481,Tenants!$A$6:$A$35,0)),"")))</f>
        <v/>
      </c>
      <c r="E481" s="56"/>
      <c r="F481" s="56"/>
      <c r="G481" s="56"/>
      <c r="H481" s="50"/>
      <c r="I481" s="47"/>
      <c r="J481" s="47"/>
      <c r="K481" s="48" t="str">
        <f ca="1">IF(B481="","",IF(UPPER(J481)="Y","Vacant",IF(AND(G481&gt;0,G481&gt;=E481+F481),IF(AND(H481&lt;&gt;"",A481&lt;&gt;"",H481&gt;A481+Settings!$C$7),"Paid late","Paid"),IF(G481&gt;0,"Partial",IF(AND(A481&lt;&gt;"",TODAY()&gt;A481+Settings!$C$7),"Unpaid","Due")))))</f>
        <v/>
      </c>
      <c r="L481" s="52" t="str">
        <f t="shared" si="35"/>
        <v/>
      </c>
      <c r="M481" s="47"/>
      <c r="N481" s="48" t="str">
        <f t="shared" si="36"/>
        <v/>
      </c>
      <c r="O481" s="48" t="str">
        <f>IF(B481="","",COUNTIF($B$7:B481,B481))</f>
        <v/>
      </c>
      <c r="P481" s="48" t="str">
        <f t="shared" si="37"/>
        <v/>
      </c>
      <c r="Q481" s="48" t="str">
        <f t="shared" si="38"/>
        <v/>
      </c>
      <c r="R481" s="48" t="str">
        <f t="shared" si="39"/>
        <v/>
      </c>
    </row>
    <row r="482" spans="1:18" ht="16" x14ac:dyDescent="0.2">
      <c r="A482" s="50"/>
      <c r="B482" s="47"/>
      <c r="C482" s="48" t="str">
        <f>IF(B482="","",IFERROR(INDEX(Tenants!$B$6:$B$35,MATCH(B482,Tenants!$A$6:$A$35,0)),"Unit not found"))</f>
        <v/>
      </c>
      <c r="D482" s="48" t="str">
        <f>IF(B482="","",IF(J482="Y","(vacant)",IFERROR(INDEX(Tenants!$C$6:$C$35,MATCH(B482,Tenants!$A$6:$A$35,0)),"")))</f>
        <v/>
      </c>
      <c r="E482" s="56"/>
      <c r="F482" s="56"/>
      <c r="G482" s="56"/>
      <c r="H482" s="50"/>
      <c r="I482" s="47"/>
      <c r="J482" s="47"/>
      <c r="K482" s="48" t="str">
        <f ca="1">IF(B482="","",IF(UPPER(J482)="Y","Vacant",IF(AND(G482&gt;0,G482&gt;=E482+F482),IF(AND(H482&lt;&gt;"",A482&lt;&gt;"",H482&gt;A482+Settings!$C$7),"Paid late","Paid"),IF(G482&gt;0,"Partial",IF(AND(A482&lt;&gt;"",TODAY()&gt;A482+Settings!$C$7),"Unpaid","Due")))))</f>
        <v/>
      </c>
      <c r="L482" s="52" t="str">
        <f t="shared" si="35"/>
        <v/>
      </c>
      <c r="M482" s="47"/>
      <c r="N482" s="48" t="str">
        <f t="shared" si="36"/>
        <v/>
      </c>
      <c r="O482" s="48" t="str">
        <f>IF(B482="","",COUNTIF($B$7:B482,B482))</f>
        <v/>
      </c>
      <c r="P482" s="48" t="str">
        <f t="shared" si="37"/>
        <v/>
      </c>
      <c r="Q482" s="48" t="str">
        <f t="shared" si="38"/>
        <v/>
      </c>
      <c r="R482" s="48" t="str">
        <f t="shared" si="39"/>
        <v/>
      </c>
    </row>
    <row r="483" spans="1:18" ht="16" x14ac:dyDescent="0.2">
      <c r="A483" s="50"/>
      <c r="B483" s="47"/>
      <c r="C483" s="48" t="str">
        <f>IF(B483="","",IFERROR(INDEX(Tenants!$B$6:$B$35,MATCH(B483,Tenants!$A$6:$A$35,0)),"Unit not found"))</f>
        <v/>
      </c>
      <c r="D483" s="48" t="str">
        <f>IF(B483="","",IF(J483="Y","(vacant)",IFERROR(INDEX(Tenants!$C$6:$C$35,MATCH(B483,Tenants!$A$6:$A$35,0)),"")))</f>
        <v/>
      </c>
      <c r="E483" s="56"/>
      <c r="F483" s="56"/>
      <c r="G483" s="56"/>
      <c r="H483" s="50"/>
      <c r="I483" s="47"/>
      <c r="J483" s="47"/>
      <c r="K483" s="48" t="str">
        <f ca="1">IF(B483="","",IF(UPPER(J483)="Y","Vacant",IF(AND(G483&gt;0,G483&gt;=E483+F483),IF(AND(H483&lt;&gt;"",A483&lt;&gt;"",H483&gt;A483+Settings!$C$7),"Paid late","Paid"),IF(G483&gt;0,"Partial",IF(AND(A483&lt;&gt;"",TODAY()&gt;A483+Settings!$C$7),"Unpaid","Due")))))</f>
        <v/>
      </c>
      <c r="L483" s="52" t="str">
        <f t="shared" si="35"/>
        <v/>
      </c>
      <c r="M483" s="47"/>
      <c r="N483" s="48" t="str">
        <f t="shared" si="36"/>
        <v/>
      </c>
      <c r="O483" s="48" t="str">
        <f>IF(B483="","",COUNTIF($B$7:B483,B483))</f>
        <v/>
      </c>
      <c r="P483" s="48" t="str">
        <f t="shared" si="37"/>
        <v/>
      </c>
      <c r="Q483" s="48" t="str">
        <f t="shared" si="38"/>
        <v/>
      </c>
      <c r="R483" s="48" t="str">
        <f t="shared" si="39"/>
        <v/>
      </c>
    </row>
    <row r="484" spans="1:18" ht="16" x14ac:dyDescent="0.2">
      <c r="A484" s="50"/>
      <c r="B484" s="47"/>
      <c r="C484" s="48" t="str">
        <f>IF(B484="","",IFERROR(INDEX(Tenants!$B$6:$B$35,MATCH(B484,Tenants!$A$6:$A$35,0)),"Unit not found"))</f>
        <v/>
      </c>
      <c r="D484" s="48" t="str">
        <f>IF(B484="","",IF(J484="Y","(vacant)",IFERROR(INDEX(Tenants!$C$6:$C$35,MATCH(B484,Tenants!$A$6:$A$35,0)),"")))</f>
        <v/>
      </c>
      <c r="E484" s="56"/>
      <c r="F484" s="56"/>
      <c r="G484" s="56"/>
      <c r="H484" s="50"/>
      <c r="I484" s="47"/>
      <c r="J484" s="47"/>
      <c r="K484" s="48" t="str">
        <f ca="1">IF(B484="","",IF(UPPER(J484)="Y","Vacant",IF(AND(G484&gt;0,G484&gt;=E484+F484),IF(AND(H484&lt;&gt;"",A484&lt;&gt;"",H484&gt;A484+Settings!$C$7),"Paid late","Paid"),IF(G484&gt;0,"Partial",IF(AND(A484&lt;&gt;"",TODAY()&gt;A484+Settings!$C$7),"Unpaid","Due")))))</f>
        <v/>
      </c>
      <c r="L484" s="52" t="str">
        <f t="shared" si="35"/>
        <v/>
      </c>
      <c r="M484" s="47"/>
      <c r="N484" s="48" t="str">
        <f t="shared" si="36"/>
        <v/>
      </c>
      <c r="O484" s="48" t="str">
        <f>IF(B484="","",COUNTIF($B$7:B484,B484))</f>
        <v/>
      </c>
      <c r="P484" s="48" t="str">
        <f t="shared" si="37"/>
        <v/>
      </c>
      <c r="Q484" s="48" t="str">
        <f t="shared" si="38"/>
        <v/>
      </c>
      <c r="R484" s="48" t="str">
        <f t="shared" si="39"/>
        <v/>
      </c>
    </row>
    <row r="485" spans="1:18" ht="16" x14ac:dyDescent="0.2">
      <c r="A485" s="50"/>
      <c r="B485" s="47"/>
      <c r="C485" s="48" t="str">
        <f>IF(B485="","",IFERROR(INDEX(Tenants!$B$6:$B$35,MATCH(B485,Tenants!$A$6:$A$35,0)),"Unit not found"))</f>
        <v/>
      </c>
      <c r="D485" s="48" t="str">
        <f>IF(B485="","",IF(J485="Y","(vacant)",IFERROR(INDEX(Tenants!$C$6:$C$35,MATCH(B485,Tenants!$A$6:$A$35,0)),"")))</f>
        <v/>
      </c>
      <c r="E485" s="56"/>
      <c r="F485" s="56"/>
      <c r="G485" s="56"/>
      <c r="H485" s="50"/>
      <c r="I485" s="47"/>
      <c r="J485" s="47"/>
      <c r="K485" s="48" t="str">
        <f ca="1">IF(B485="","",IF(UPPER(J485)="Y","Vacant",IF(AND(G485&gt;0,G485&gt;=E485+F485),IF(AND(H485&lt;&gt;"",A485&lt;&gt;"",H485&gt;A485+Settings!$C$7),"Paid late","Paid"),IF(G485&gt;0,"Partial",IF(AND(A485&lt;&gt;"",TODAY()&gt;A485+Settings!$C$7),"Unpaid","Due")))))</f>
        <v/>
      </c>
      <c r="L485" s="52" t="str">
        <f t="shared" si="35"/>
        <v/>
      </c>
      <c r="M485" s="47"/>
      <c r="N485" s="48" t="str">
        <f t="shared" si="36"/>
        <v/>
      </c>
      <c r="O485" s="48" t="str">
        <f>IF(B485="","",COUNTIF($B$7:B485,B485))</f>
        <v/>
      </c>
      <c r="P485" s="48" t="str">
        <f t="shared" si="37"/>
        <v/>
      </c>
      <c r="Q485" s="48" t="str">
        <f t="shared" si="38"/>
        <v/>
      </c>
      <c r="R485" s="48" t="str">
        <f t="shared" si="39"/>
        <v/>
      </c>
    </row>
    <row r="486" spans="1:18" ht="16" x14ac:dyDescent="0.2">
      <c r="A486" s="50"/>
      <c r="B486" s="47"/>
      <c r="C486" s="48" t="str">
        <f>IF(B486="","",IFERROR(INDEX(Tenants!$B$6:$B$35,MATCH(B486,Tenants!$A$6:$A$35,0)),"Unit not found"))</f>
        <v/>
      </c>
      <c r="D486" s="48" t="str">
        <f>IF(B486="","",IF(J486="Y","(vacant)",IFERROR(INDEX(Tenants!$C$6:$C$35,MATCH(B486,Tenants!$A$6:$A$35,0)),"")))</f>
        <v/>
      </c>
      <c r="E486" s="56"/>
      <c r="F486" s="56"/>
      <c r="G486" s="56"/>
      <c r="H486" s="50"/>
      <c r="I486" s="47"/>
      <c r="J486" s="47"/>
      <c r="K486" s="48" t="str">
        <f ca="1">IF(B486="","",IF(UPPER(J486)="Y","Vacant",IF(AND(G486&gt;0,G486&gt;=E486+F486),IF(AND(H486&lt;&gt;"",A486&lt;&gt;"",H486&gt;A486+Settings!$C$7),"Paid late","Paid"),IF(G486&gt;0,"Partial",IF(AND(A486&lt;&gt;"",TODAY()&gt;A486+Settings!$C$7),"Unpaid","Due")))))</f>
        <v/>
      </c>
      <c r="L486" s="52" t="str">
        <f t="shared" si="35"/>
        <v/>
      </c>
      <c r="M486" s="47"/>
      <c r="N486" s="48" t="str">
        <f t="shared" si="36"/>
        <v/>
      </c>
      <c r="O486" s="48" t="str">
        <f>IF(B486="","",COUNTIF($B$7:B486,B486))</f>
        <v/>
      </c>
      <c r="P486" s="48" t="str">
        <f t="shared" si="37"/>
        <v/>
      </c>
      <c r="Q486" s="48" t="str">
        <f t="shared" si="38"/>
        <v/>
      </c>
      <c r="R486" s="48" t="str">
        <f t="shared" si="39"/>
        <v/>
      </c>
    </row>
    <row r="487" spans="1:18" ht="16" x14ac:dyDescent="0.2">
      <c r="A487" s="50"/>
      <c r="B487" s="47"/>
      <c r="C487" s="48" t="str">
        <f>IF(B487="","",IFERROR(INDEX(Tenants!$B$6:$B$35,MATCH(B487,Tenants!$A$6:$A$35,0)),"Unit not found"))</f>
        <v/>
      </c>
      <c r="D487" s="48" t="str">
        <f>IF(B487="","",IF(J487="Y","(vacant)",IFERROR(INDEX(Tenants!$C$6:$C$35,MATCH(B487,Tenants!$A$6:$A$35,0)),"")))</f>
        <v/>
      </c>
      <c r="E487" s="56"/>
      <c r="F487" s="56"/>
      <c r="G487" s="56"/>
      <c r="H487" s="50"/>
      <c r="I487" s="47"/>
      <c r="J487" s="47"/>
      <c r="K487" s="48" t="str">
        <f ca="1">IF(B487="","",IF(UPPER(J487)="Y","Vacant",IF(AND(G487&gt;0,G487&gt;=E487+F487),IF(AND(H487&lt;&gt;"",A487&lt;&gt;"",H487&gt;A487+Settings!$C$7),"Paid late","Paid"),IF(G487&gt;0,"Partial",IF(AND(A487&lt;&gt;"",TODAY()&gt;A487+Settings!$C$7),"Unpaid","Due")))))</f>
        <v/>
      </c>
      <c r="L487" s="52" t="str">
        <f t="shared" si="35"/>
        <v/>
      </c>
      <c r="M487" s="47"/>
      <c r="N487" s="48" t="str">
        <f t="shared" si="36"/>
        <v/>
      </c>
      <c r="O487" s="48" t="str">
        <f>IF(B487="","",COUNTIF($B$7:B487,B487))</f>
        <v/>
      </c>
      <c r="P487" s="48" t="str">
        <f t="shared" si="37"/>
        <v/>
      </c>
      <c r="Q487" s="48" t="str">
        <f t="shared" si="38"/>
        <v/>
      </c>
      <c r="R487" s="48" t="str">
        <f t="shared" si="39"/>
        <v/>
      </c>
    </row>
    <row r="488" spans="1:18" ht="16" x14ac:dyDescent="0.2">
      <c r="A488" s="50"/>
      <c r="B488" s="47"/>
      <c r="C488" s="48" t="str">
        <f>IF(B488="","",IFERROR(INDEX(Tenants!$B$6:$B$35,MATCH(B488,Tenants!$A$6:$A$35,0)),"Unit not found"))</f>
        <v/>
      </c>
      <c r="D488" s="48" t="str">
        <f>IF(B488="","",IF(J488="Y","(vacant)",IFERROR(INDEX(Tenants!$C$6:$C$35,MATCH(B488,Tenants!$A$6:$A$35,0)),"")))</f>
        <v/>
      </c>
      <c r="E488" s="56"/>
      <c r="F488" s="56"/>
      <c r="G488" s="56"/>
      <c r="H488" s="50"/>
      <c r="I488" s="47"/>
      <c r="J488" s="47"/>
      <c r="K488" s="48" t="str">
        <f ca="1">IF(B488="","",IF(UPPER(J488)="Y","Vacant",IF(AND(G488&gt;0,G488&gt;=E488+F488),IF(AND(H488&lt;&gt;"",A488&lt;&gt;"",H488&gt;A488+Settings!$C$7),"Paid late","Paid"),IF(G488&gt;0,"Partial",IF(AND(A488&lt;&gt;"",TODAY()&gt;A488+Settings!$C$7),"Unpaid","Due")))))</f>
        <v/>
      </c>
      <c r="L488" s="52" t="str">
        <f t="shared" si="35"/>
        <v/>
      </c>
      <c r="M488" s="47"/>
      <c r="N488" s="48" t="str">
        <f t="shared" si="36"/>
        <v/>
      </c>
      <c r="O488" s="48" t="str">
        <f>IF(B488="","",COUNTIF($B$7:B488,B488))</f>
        <v/>
      </c>
      <c r="P488" s="48" t="str">
        <f t="shared" si="37"/>
        <v/>
      </c>
      <c r="Q488" s="48" t="str">
        <f t="shared" si="38"/>
        <v/>
      </c>
      <c r="R488" s="48" t="str">
        <f t="shared" si="39"/>
        <v/>
      </c>
    </row>
    <row r="489" spans="1:18" ht="16" x14ac:dyDescent="0.2">
      <c r="A489" s="50"/>
      <c r="B489" s="47"/>
      <c r="C489" s="48" t="str">
        <f>IF(B489="","",IFERROR(INDEX(Tenants!$B$6:$B$35,MATCH(B489,Tenants!$A$6:$A$35,0)),"Unit not found"))</f>
        <v/>
      </c>
      <c r="D489" s="48" t="str">
        <f>IF(B489="","",IF(J489="Y","(vacant)",IFERROR(INDEX(Tenants!$C$6:$C$35,MATCH(B489,Tenants!$A$6:$A$35,0)),"")))</f>
        <v/>
      </c>
      <c r="E489" s="56"/>
      <c r="F489" s="56"/>
      <c r="G489" s="56"/>
      <c r="H489" s="50"/>
      <c r="I489" s="47"/>
      <c r="J489" s="47"/>
      <c r="K489" s="48" t="str">
        <f ca="1">IF(B489="","",IF(UPPER(J489)="Y","Vacant",IF(AND(G489&gt;0,G489&gt;=E489+F489),IF(AND(H489&lt;&gt;"",A489&lt;&gt;"",H489&gt;A489+Settings!$C$7),"Paid late","Paid"),IF(G489&gt;0,"Partial",IF(AND(A489&lt;&gt;"",TODAY()&gt;A489+Settings!$C$7),"Unpaid","Due")))))</f>
        <v/>
      </c>
      <c r="L489" s="52" t="str">
        <f t="shared" si="35"/>
        <v/>
      </c>
      <c r="M489" s="47"/>
      <c r="N489" s="48" t="str">
        <f t="shared" si="36"/>
        <v/>
      </c>
      <c r="O489" s="48" t="str">
        <f>IF(B489="","",COUNTIF($B$7:B489,B489))</f>
        <v/>
      </c>
      <c r="P489" s="48" t="str">
        <f t="shared" si="37"/>
        <v/>
      </c>
      <c r="Q489" s="48" t="str">
        <f t="shared" si="38"/>
        <v/>
      </c>
      <c r="R489" s="48" t="str">
        <f t="shared" si="39"/>
        <v/>
      </c>
    </row>
    <row r="490" spans="1:18" ht="16" x14ac:dyDescent="0.2">
      <c r="A490" s="50"/>
      <c r="B490" s="47"/>
      <c r="C490" s="48" t="str">
        <f>IF(B490="","",IFERROR(INDEX(Tenants!$B$6:$B$35,MATCH(B490,Tenants!$A$6:$A$35,0)),"Unit not found"))</f>
        <v/>
      </c>
      <c r="D490" s="48" t="str">
        <f>IF(B490="","",IF(J490="Y","(vacant)",IFERROR(INDEX(Tenants!$C$6:$C$35,MATCH(B490,Tenants!$A$6:$A$35,0)),"")))</f>
        <v/>
      </c>
      <c r="E490" s="56"/>
      <c r="F490" s="56"/>
      <c r="G490" s="56"/>
      <c r="H490" s="50"/>
      <c r="I490" s="47"/>
      <c r="J490" s="47"/>
      <c r="K490" s="48" t="str">
        <f ca="1">IF(B490="","",IF(UPPER(J490)="Y","Vacant",IF(AND(G490&gt;0,G490&gt;=E490+F490),IF(AND(H490&lt;&gt;"",A490&lt;&gt;"",H490&gt;A490+Settings!$C$7),"Paid late","Paid"),IF(G490&gt;0,"Partial",IF(AND(A490&lt;&gt;"",TODAY()&gt;A490+Settings!$C$7),"Unpaid","Due")))))</f>
        <v/>
      </c>
      <c r="L490" s="52" t="str">
        <f t="shared" si="35"/>
        <v/>
      </c>
      <c r="M490" s="47"/>
      <c r="N490" s="48" t="str">
        <f t="shared" si="36"/>
        <v/>
      </c>
      <c r="O490" s="48" t="str">
        <f>IF(B490="","",COUNTIF($B$7:B490,B490))</f>
        <v/>
      </c>
      <c r="P490" s="48" t="str">
        <f t="shared" si="37"/>
        <v/>
      </c>
      <c r="Q490" s="48" t="str">
        <f t="shared" si="38"/>
        <v/>
      </c>
      <c r="R490" s="48" t="str">
        <f t="shared" si="39"/>
        <v/>
      </c>
    </row>
    <row r="491" spans="1:18" ht="16" x14ac:dyDescent="0.2">
      <c r="A491" s="50"/>
      <c r="B491" s="47"/>
      <c r="C491" s="48" t="str">
        <f>IF(B491="","",IFERROR(INDEX(Tenants!$B$6:$B$35,MATCH(B491,Tenants!$A$6:$A$35,0)),"Unit not found"))</f>
        <v/>
      </c>
      <c r="D491" s="48" t="str">
        <f>IF(B491="","",IF(J491="Y","(vacant)",IFERROR(INDEX(Tenants!$C$6:$C$35,MATCH(B491,Tenants!$A$6:$A$35,0)),"")))</f>
        <v/>
      </c>
      <c r="E491" s="56"/>
      <c r="F491" s="56"/>
      <c r="G491" s="56"/>
      <c r="H491" s="50"/>
      <c r="I491" s="47"/>
      <c r="J491" s="47"/>
      <c r="K491" s="48" t="str">
        <f ca="1">IF(B491="","",IF(UPPER(J491)="Y","Vacant",IF(AND(G491&gt;0,G491&gt;=E491+F491),IF(AND(H491&lt;&gt;"",A491&lt;&gt;"",H491&gt;A491+Settings!$C$7),"Paid late","Paid"),IF(G491&gt;0,"Partial",IF(AND(A491&lt;&gt;"",TODAY()&gt;A491+Settings!$C$7),"Unpaid","Due")))))</f>
        <v/>
      </c>
      <c r="L491" s="52" t="str">
        <f t="shared" si="35"/>
        <v/>
      </c>
      <c r="M491" s="47"/>
      <c r="N491" s="48" t="str">
        <f t="shared" si="36"/>
        <v/>
      </c>
      <c r="O491" s="48" t="str">
        <f>IF(B491="","",COUNTIF($B$7:B491,B491))</f>
        <v/>
      </c>
      <c r="P491" s="48" t="str">
        <f t="shared" si="37"/>
        <v/>
      </c>
      <c r="Q491" s="48" t="str">
        <f t="shared" si="38"/>
        <v/>
      </c>
      <c r="R491" s="48" t="str">
        <f t="shared" si="39"/>
        <v/>
      </c>
    </row>
    <row r="492" spans="1:18" ht="16" x14ac:dyDescent="0.2">
      <c r="A492" s="50"/>
      <c r="B492" s="47"/>
      <c r="C492" s="48" t="str">
        <f>IF(B492="","",IFERROR(INDEX(Tenants!$B$6:$B$35,MATCH(B492,Tenants!$A$6:$A$35,0)),"Unit not found"))</f>
        <v/>
      </c>
      <c r="D492" s="48" t="str">
        <f>IF(B492="","",IF(J492="Y","(vacant)",IFERROR(INDEX(Tenants!$C$6:$C$35,MATCH(B492,Tenants!$A$6:$A$35,0)),"")))</f>
        <v/>
      </c>
      <c r="E492" s="56"/>
      <c r="F492" s="56"/>
      <c r="G492" s="56"/>
      <c r="H492" s="50"/>
      <c r="I492" s="47"/>
      <c r="J492" s="47"/>
      <c r="K492" s="48" t="str">
        <f ca="1">IF(B492="","",IF(UPPER(J492)="Y","Vacant",IF(AND(G492&gt;0,G492&gt;=E492+F492),IF(AND(H492&lt;&gt;"",A492&lt;&gt;"",H492&gt;A492+Settings!$C$7),"Paid late","Paid"),IF(G492&gt;0,"Partial",IF(AND(A492&lt;&gt;"",TODAY()&gt;A492+Settings!$C$7),"Unpaid","Due")))))</f>
        <v/>
      </c>
      <c r="L492" s="52" t="str">
        <f t="shared" si="35"/>
        <v/>
      </c>
      <c r="M492" s="47"/>
      <c r="N492" s="48" t="str">
        <f t="shared" si="36"/>
        <v/>
      </c>
      <c r="O492" s="48" t="str">
        <f>IF(B492="","",COUNTIF($B$7:B492,B492))</f>
        <v/>
      </c>
      <c r="P492" s="48" t="str">
        <f t="shared" si="37"/>
        <v/>
      </c>
      <c r="Q492" s="48" t="str">
        <f t="shared" si="38"/>
        <v/>
      </c>
      <c r="R492" s="48" t="str">
        <f t="shared" si="39"/>
        <v/>
      </c>
    </row>
    <row r="493" spans="1:18" ht="16" x14ac:dyDescent="0.2">
      <c r="A493" s="50"/>
      <c r="B493" s="47"/>
      <c r="C493" s="48" t="str">
        <f>IF(B493="","",IFERROR(INDEX(Tenants!$B$6:$B$35,MATCH(B493,Tenants!$A$6:$A$35,0)),"Unit not found"))</f>
        <v/>
      </c>
      <c r="D493" s="48" t="str">
        <f>IF(B493="","",IF(J493="Y","(vacant)",IFERROR(INDEX(Tenants!$C$6:$C$35,MATCH(B493,Tenants!$A$6:$A$35,0)),"")))</f>
        <v/>
      </c>
      <c r="E493" s="56"/>
      <c r="F493" s="56"/>
      <c r="G493" s="56"/>
      <c r="H493" s="50"/>
      <c r="I493" s="47"/>
      <c r="J493" s="47"/>
      <c r="K493" s="48" t="str">
        <f ca="1">IF(B493="","",IF(UPPER(J493)="Y","Vacant",IF(AND(G493&gt;0,G493&gt;=E493+F493),IF(AND(H493&lt;&gt;"",A493&lt;&gt;"",H493&gt;A493+Settings!$C$7),"Paid late","Paid"),IF(G493&gt;0,"Partial",IF(AND(A493&lt;&gt;"",TODAY()&gt;A493+Settings!$C$7),"Unpaid","Due")))))</f>
        <v/>
      </c>
      <c r="L493" s="52" t="str">
        <f t="shared" si="35"/>
        <v/>
      </c>
      <c r="M493" s="47"/>
      <c r="N493" s="48" t="str">
        <f t="shared" si="36"/>
        <v/>
      </c>
      <c r="O493" s="48" t="str">
        <f>IF(B493="","",COUNTIF($B$7:B493,B493))</f>
        <v/>
      </c>
      <c r="P493" s="48" t="str">
        <f t="shared" si="37"/>
        <v/>
      </c>
      <c r="Q493" s="48" t="str">
        <f t="shared" si="38"/>
        <v/>
      </c>
      <c r="R493" s="48" t="str">
        <f t="shared" si="39"/>
        <v/>
      </c>
    </row>
    <row r="494" spans="1:18" ht="16" x14ac:dyDescent="0.2">
      <c r="A494" s="50"/>
      <c r="B494" s="47"/>
      <c r="C494" s="48" t="str">
        <f>IF(B494="","",IFERROR(INDEX(Tenants!$B$6:$B$35,MATCH(B494,Tenants!$A$6:$A$35,0)),"Unit not found"))</f>
        <v/>
      </c>
      <c r="D494" s="48" t="str">
        <f>IF(B494="","",IF(J494="Y","(vacant)",IFERROR(INDEX(Tenants!$C$6:$C$35,MATCH(B494,Tenants!$A$6:$A$35,0)),"")))</f>
        <v/>
      </c>
      <c r="E494" s="56"/>
      <c r="F494" s="56"/>
      <c r="G494" s="56"/>
      <c r="H494" s="50"/>
      <c r="I494" s="47"/>
      <c r="J494" s="47"/>
      <c r="K494" s="48" t="str">
        <f ca="1">IF(B494="","",IF(UPPER(J494)="Y","Vacant",IF(AND(G494&gt;0,G494&gt;=E494+F494),IF(AND(H494&lt;&gt;"",A494&lt;&gt;"",H494&gt;A494+Settings!$C$7),"Paid late","Paid"),IF(G494&gt;0,"Partial",IF(AND(A494&lt;&gt;"",TODAY()&gt;A494+Settings!$C$7),"Unpaid","Due")))))</f>
        <v/>
      </c>
      <c r="L494" s="52" t="str">
        <f t="shared" si="35"/>
        <v/>
      </c>
      <c r="M494" s="47"/>
      <c r="N494" s="48" t="str">
        <f t="shared" si="36"/>
        <v/>
      </c>
      <c r="O494" s="48" t="str">
        <f>IF(B494="","",COUNTIF($B$7:B494,B494))</f>
        <v/>
      </c>
      <c r="P494" s="48" t="str">
        <f t="shared" si="37"/>
        <v/>
      </c>
      <c r="Q494" s="48" t="str">
        <f t="shared" si="38"/>
        <v/>
      </c>
      <c r="R494" s="48" t="str">
        <f t="shared" si="39"/>
        <v/>
      </c>
    </row>
    <row r="495" spans="1:18" ht="16" x14ac:dyDescent="0.2">
      <c r="A495" s="50"/>
      <c r="B495" s="47"/>
      <c r="C495" s="48" t="str">
        <f>IF(B495="","",IFERROR(INDEX(Tenants!$B$6:$B$35,MATCH(B495,Tenants!$A$6:$A$35,0)),"Unit not found"))</f>
        <v/>
      </c>
      <c r="D495" s="48" t="str">
        <f>IF(B495="","",IF(J495="Y","(vacant)",IFERROR(INDEX(Tenants!$C$6:$C$35,MATCH(B495,Tenants!$A$6:$A$35,0)),"")))</f>
        <v/>
      </c>
      <c r="E495" s="56"/>
      <c r="F495" s="56"/>
      <c r="G495" s="56"/>
      <c r="H495" s="50"/>
      <c r="I495" s="47"/>
      <c r="J495" s="47"/>
      <c r="K495" s="48" t="str">
        <f ca="1">IF(B495="","",IF(UPPER(J495)="Y","Vacant",IF(AND(G495&gt;0,G495&gt;=E495+F495),IF(AND(H495&lt;&gt;"",A495&lt;&gt;"",H495&gt;A495+Settings!$C$7),"Paid late","Paid"),IF(G495&gt;0,"Partial",IF(AND(A495&lt;&gt;"",TODAY()&gt;A495+Settings!$C$7),"Unpaid","Due")))))</f>
        <v/>
      </c>
      <c r="L495" s="52" t="str">
        <f t="shared" si="35"/>
        <v/>
      </c>
      <c r="M495" s="47"/>
      <c r="N495" s="48" t="str">
        <f t="shared" si="36"/>
        <v/>
      </c>
      <c r="O495" s="48" t="str">
        <f>IF(B495="","",COUNTIF($B$7:B495,B495))</f>
        <v/>
      </c>
      <c r="P495" s="48" t="str">
        <f t="shared" si="37"/>
        <v/>
      </c>
      <c r="Q495" s="48" t="str">
        <f t="shared" si="38"/>
        <v/>
      </c>
      <c r="R495" s="48" t="str">
        <f t="shared" si="39"/>
        <v/>
      </c>
    </row>
    <row r="496" spans="1:18" ht="16" x14ac:dyDescent="0.2">
      <c r="A496" s="50"/>
      <c r="B496" s="47"/>
      <c r="C496" s="48" t="str">
        <f>IF(B496="","",IFERROR(INDEX(Tenants!$B$6:$B$35,MATCH(B496,Tenants!$A$6:$A$35,0)),"Unit not found"))</f>
        <v/>
      </c>
      <c r="D496" s="48" t="str">
        <f>IF(B496="","",IF(J496="Y","(vacant)",IFERROR(INDEX(Tenants!$C$6:$C$35,MATCH(B496,Tenants!$A$6:$A$35,0)),"")))</f>
        <v/>
      </c>
      <c r="E496" s="56"/>
      <c r="F496" s="56"/>
      <c r="G496" s="56"/>
      <c r="H496" s="50"/>
      <c r="I496" s="47"/>
      <c r="J496" s="47"/>
      <c r="K496" s="48" t="str">
        <f ca="1">IF(B496="","",IF(UPPER(J496)="Y","Vacant",IF(AND(G496&gt;0,G496&gt;=E496+F496),IF(AND(H496&lt;&gt;"",A496&lt;&gt;"",H496&gt;A496+Settings!$C$7),"Paid late","Paid"),IF(G496&gt;0,"Partial",IF(AND(A496&lt;&gt;"",TODAY()&gt;A496+Settings!$C$7),"Unpaid","Due")))))</f>
        <v/>
      </c>
      <c r="L496" s="52" t="str">
        <f t="shared" si="35"/>
        <v/>
      </c>
      <c r="M496" s="47"/>
      <c r="N496" s="48" t="str">
        <f t="shared" si="36"/>
        <v/>
      </c>
      <c r="O496" s="48" t="str">
        <f>IF(B496="","",COUNTIF($B$7:B496,B496))</f>
        <v/>
      </c>
      <c r="P496" s="48" t="str">
        <f t="shared" si="37"/>
        <v/>
      </c>
      <c r="Q496" s="48" t="str">
        <f t="shared" si="38"/>
        <v/>
      </c>
      <c r="R496" s="48" t="str">
        <f t="shared" si="39"/>
        <v/>
      </c>
    </row>
    <row r="497" spans="1:18" ht="16" x14ac:dyDescent="0.2">
      <c r="A497" s="50"/>
      <c r="B497" s="47"/>
      <c r="C497" s="48" t="str">
        <f>IF(B497="","",IFERROR(INDEX(Tenants!$B$6:$B$35,MATCH(B497,Tenants!$A$6:$A$35,0)),"Unit not found"))</f>
        <v/>
      </c>
      <c r="D497" s="48" t="str">
        <f>IF(B497="","",IF(J497="Y","(vacant)",IFERROR(INDEX(Tenants!$C$6:$C$35,MATCH(B497,Tenants!$A$6:$A$35,0)),"")))</f>
        <v/>
      </c>
      <c r="E497" s="56"/>
      <c r="F497" s="56"/>
      <c r="G497" s="56"/>
      <c r="H497" s="50"/>
      <c r="I497" s="47"/>
      <c r="J497" s="47"/>
      <c r="K497" s="48" t="str">
        <f ca="1">IF(B497="","",IF(UPPER(J497)="Y","Vacant",IF(AND(G497&gt;0,G497&gt;=E497+F497),IF(AND(H497&lt;&gt;"",A497&lt;&gt;"",H497&gt;A497+Settings!$C$7),"Paid late","Paid"),IF(G497&gt;0,"Partial",IF(AND(A497&lt;&gt;"",TODAY()&gt;A497+Settings!$C$7),"Unpaid","Due")))))</f>
        <v/>
      </c>
      <c r="L497" s="52" t="str">
        <f t="shared" si="35"/>
        <v/>
      </c>
      <c r="M497" s="47"/>
      <c r="N497" s="48" t="str">
        <f t="shared" si="36"/>
        <v/>
      </c>
      <c r="O497" s="48" t="str">
        <f>IF(B497="","",COUNTIF($B$7:B497,B497))</f>
        <v/>
      </c>
      <c r="P497" s="48" t="str">
        <f t="shared" si="37"/>
        <v/>
      </c>
      <c r="Q497" s="48" t="str">
        <f t="shared" si="38"/>
        <v/>
      </c>
      <c r="R497" s="48" t="str">
        <f t="shared" si="39"/>
        <v/>
      </c>
    </row>
    <row r="498" spans="1:18" ht="16" x14ac:dyDescent="0.2">
      <c r="A498" s="50"/>
      <c r="B498" s="47"/>
      <c r="C498" s="48" t="str">
        <f>IF(B498="","",IFERROR(INDEX(Tenants!$B$6:$B$35,MATCH(B498,Tenants!$A$6:$A$35,0)),"Unit not found"))</f>
        <v/>
      </c>
      <c r="D498" s="48" t="str">
        <f>IF(B498="","",IF(J498="Y","(vacant)",IFERROR(INDEX(Tenants!$C$6:$C$35,MATCH(B498,Tenants!$A$6:$A$35,0)),"")))</f>
        <v/>
      </c>
      <c r="E498" s="56"/>
      <c r="F498" s="56"/>
      <c r="G498" s="56"/>
      <c r="H498" s="50"/>
      <c r="I498" s="47"/>
      <c r="J498" s="47"/>
      <c r="K498" s="48" t="str">
        <f ca="1">IF(B498="","",IF(UPPER(J498)="Y","Vacant",IF(AND(G498&gt;0,G498&gt;=E498+F498),IF(AND(H498&lt;&gt;"",A498&lt;&gt;"",H498&gt;A498+Settings!$C$7),"Paid late","Paid"),IF(G498&gt;0,"Partial",IF(AND(A498&lt;&gt;"",TODAY()&gt;A498+Settings!$C$7),"Unpaid","Due")))))</f>
        <v/>
      </c>
      <c r="L498" s="52" t="str">
        <f t="shared" si="35"/>
        <v/>
      </c>
      <c r="M498" s="47"/>
      <c r="N498" s="48" t="str">
        <f t="shared" si="36"/>
        <v/>
      </c>
      <c r="O498" s="48" t="str">
        <f>IF(B498="","",COUNTIF($B$7:B498,B498))</f>
        <v/>
      </c>
      <c r="P498" s="48" t="str">
        <f t="shared" si="37"/>
        <v/>
      </c>
      <c r="Q498" s="48" t="str">
        <f t="shared" si="38"/>
        <v/>
      </c>
      <c r="R498" s="48" t="str">
        <f t="shared" si="39"/>
        <v/>
      </c>
    </row>
    <row r="499" spans="1:18" ht="16" x14ac:dyDescent="0.2">
      <c r="A499" s="50"/>
      <c r="B499" s="47"/>
      <c r="C499" s="48" t="str">
        <f>IF(B499="","",IFERROR(INDEX(Tenants!$B$6:$B$35,MATCH(B499,Tenants!$A$6:$A$35,0)),"Unit not found"))</f>
        <v/>
      </c>
      <c r="D499" s="48" t="str">
        <f>IF(B499="","",IF(J499="Y","(vacant)",IFERROR(INDEX(Tenants!$C$6:$C$35,MATCH(B499,Tenants!$A$6:$A$35,0)),"")))</f>
        <v/>
      </c>
      <c r="E499" s="56"/>
      <c r="F499" s="56"/>
      <c r="G499" s="56"/>
      <c r="H499" s="50"/>
      <c r="I499" s="47"/>
      <c r="J499" s="47"/>
      <c r="K499" s="48" t="str">
        <f ca="1">IF(B499="","",IF(UPPER(J499)="Y","Vacant",IF(AND(G499&gt;0,G499&gt;=E499+F499),IF(AND(H499&lt;&gt;"",A499&lt;&gt;"",H499&gt;A499+Settings!$C$7),"Paid late","Paid"),IF(G499&gt;0,"Partial",IF(AND(A499&lt;&gt;"",TODAY()&gt;A499+Settings!$C$7),"Unpaid","Due")))))</f>
        <v/>
      </c>
      <c r="L499" s="52" t="str">
        <f t="shared" si="35"/>
        <v/>
      </c>
      <c r="M499" s="47"/>
      <c r="N499" s="48" t="str">
        <f t="shared" si="36"/>
        <v/>
      </c>
      <c r="O499" s="48" t="str">
        <f>IF(B499="","",COUNTIF($B$7:B499,B499))</f>
        <v/>
      </c>
      <c r="P499" s="48" t="str">
        <f t="shared" si="37"/>
        <v/>
      </c>
      <c r="Q499" s="48" t="str">
        <f t="shared" si="38"/>
        <v/>
      </c>
      <c r="R499" s="48" t="str">
        <f t="shared" si="39"/>
        <v/>
      </c>
    </row>
    <row r="500" spans="1:18" ht="16" x14ac:dyDescent="0.2">
      <c r="A500" s="50"/>
      <c r="B500" s="47"/>
      <c r="C500" s="48" t="str">
        <f>IF(B500="","",IFERROR(INDEX(Tenants!$B$6:$B$35,MATCH(B500,Tenants!$A$6:$A$35,0)),"Unit not found"))</f>
        <v/>
      </c>
      <c r="D500" s="48" t="str">
        <f>IF(B500="","",IF(J500="Y","(vacant)",IFERROR(INDEX(Tenants!$C$6:$C$35,MATCH(B500,Tenants!$A$6:$A$35,0)),"")))</f>
        <v/>
      </c>
      <c r="E500" s="56"/>
      <c r="F500" s="56"/>
      <c r="G500" s="56"/>
      <c r="H500" s="50"/>
      <c r="I500" s="47"/>
      <c r="J500" s="47"/>
      <c r="K500" s="48" t="str">
        <f ca="1">IF(B500="","",IF(UPPER(J500)="Y","Vacant",IF(AND(G500&gt;0,G500&gt;=E500+F500),IF(AND(H500&lt;&gt;"",A500&lt;&gt;"",H500&gt;A500+Settings!$C$7),"Paid late","Paid"),IF(G500&gt;0,"Partial",IF(AND(A500&lt;&gt;"",TODAY()&gt;A500+Settings!$C$7),"Unpaid","Due")))))</f>
        <v/>
      </c>
      <c r="L500" s="52" t="str">
        <f t="shared" si="35"/>
        <v/>
      </c>
      <c r="M500" s="47"/>
      <c r="N500" s="48" t="str">
        <f t="shared" si="36"/>
        <v/>
      </c>
      <c r="O500" s="48" t="str">
        <f>IF(B500="","",COUNTIF($B$7:B500,B500))</f>
        <v/>
      </c>
      <c r="P500" s="48" t="str">
        <f t="shared" si="37"/>
        <v/>
      </c>
      <c r="Q500" s="48" t="str">
        <f t="shared" si="38"/>
        <v/>
      </c>
      <c r="R500" s="48" t="str">
        <f t="shared" si="39"/>
        <v/>
      </c>
    </row>
    <row r="501" spans="1:18" ht="16" x14ac:dyDescent="0.2">
      <c r="A501" s="50"/>
      <c r="B501" s="47"/>
      <c r="C501" s="48" t="str">
        <f>IF(B501="","",IFERROR(INDEX(Tenants!$B$6:$B$35,MATCH(B501,Tenants!$A$6:$A$35,0)),"Unit not found"))</f>
        <v/>
      </c>
      <c r="D501" s="48" t="str">
        <f>IF(B501="","",IF(J501="Y","(vacant)",IFERROR(INDEX(Tenants!$C$6:$C$35,MATCH(B501,Tenants!$A$6:$A$35,0)),"")))</f>
        <v/>
      </c>
      <c r="E501" s="56"/>
      <c r="F501" s="56"/>
      <c r="G501" s="56"/>
      <c r="H501" s="50"/>
      <c r="I501" s="47"/>
      <c r="J501" s="47"/>
      <c r="K501" s="48" t="str">
        <f ca="1">IF(B501="","",IF(UPPER(J501)="Y","Vacant",IF(AND(G501&gt;0,G501&gt;=E501+F501),IF(AND(H501&lt;&gt;"",A501&lt;&gt;"",H501&gt;A501+Settings!$C$7),"Paid late","Paid"),IF(G501&gt;0,"Partial",IF(AND(A501&lt;&gt;"",TODAY()&gt;A501+Settings!$C$7),"Unpaid","Due")))))</f>
        <v/>
      </c>
      <c r="L501" s="52" t="str">
        <f t="shared" si="35"/>
        <v/>
      </c>
      <c r="M501" s="47"/>
      <c r="N501" s="48" t="str">
        <f t="shared" si="36"/>
        <v/>
      </c>
      <c r="O501" s="48" t="str">
        <f>IF(B501="","",COUNTIF($B$7:B501,B501))</f>
        <v/>
      </c>
      <c r="P501" s="48" t="str">
        <f t="shared" si="37"/>
        <v/>
      </c>
      <c r="Q501" s="48" t="str">
        <f t="shared" si="38"/>
        <v/>
      </c>
      <c r="R501" s="48" t="str">
        <f t="shared" si="39"/>
        <v/>
      </c>
    </row>
    <row r="502" spans="1:18" ht="16" x14ac:dyDescent="0.2">
      <c r="A502" s="50"/>
      <c r="B502" s="47"/>
      <c r="C502" s="48" t="str">
        <f>IF(B502="","",IFERROR(INDEX(Tenants!$B$6:$B$35,MATCH(B502,Tenants!$A$6:$A$35,0)),"Unit not found"))</f>
        <v/>
      </c>
      <c r="D502" s="48" t="str">
        <f>IF(B502="","",IF(J502="Y","(vacant)",IFERROR(INDEX(Tenants!$C$6:$C$35,MATCH(B502,Tenants!$A$6:$A$35,0)),"")))</f>
        <v/>
      </c>
      <c r="E502" s="56"/>
      <c r="F502" s="56"/>
      <c r="G502" s="56"/>
      <c r="H502" s="50"/>
      <c r="I502" s="47"/>
      <c r="J502" s="47"/>
      <c r="K502" s="48" t="str">
        <f ca="1">IF(B502="","",IF(UPPER(J502)="Y","Vacant",IF(AND(G502&gt;0,G502&gt;=E502+F502),IF(AND(H502&lt;&gt;"",A502&lt;&gt;"",H502&gt;A502+Settings!$C$7),"Paid late","Paid"),IF(G502&gt;0,"Partial",IF(AND(A502&lt;&gt;"",TODAY()&gt;A502+Settings!$C$7),"Unpaid","Due")))))</f>
        <v/>
      </c>
      <c r="L502" s="52" t="str">
        <f t="shared" si="35"/>
        <v/>
      </c>
      <c r="M502" s="47"/>
      <c r="N502" s="48" t="str">
        <f t="shared" si="36"/>
        <v/>
      </c>
      <c r="O502" s="48" t="str">
        <f>IF(B502="","",COUNTIF($B$7:B502,B502))</f>
        <v/>
      </c>
      <c r="P502" s="48" t="str">
        <f t="shared" si="37"/>
        <v/>
      </c>
      <c r="Q502" s="48" t="str">
        <f t="shared" si="38"/>
        <v/>
      </c>
      <c r="R502" s="48" t="str">
        <f t="shared" si="39"/>
        <v/>
      </c>
    </row>
    <row r="503" spans="1:18" ht="16" x14ac:dyDescent="0.2">
      <c r="A503" s="50"/>
      <c r="B503" s="47"/>
      <c r="C503" s="48" t="str">
        <f>IF(B503="","",IFERROR(INDEX(Tenants!$B$6:$B$35,MATCH(B503,Tenants!$A$6:$A$35,0)),"Unit not found"))</f>
        <v/>
      </c>
      <c r="D503" s="48" t="str">
        <f>IF(B503="","",IF(J503="Y","(vacant)",IFERROR(INDEX(Tenants!$C$6:$C$35,MATCH(B503,Tenants!$A$6:$A$35,0)),"")))</f>
        <v/>
      </c>
      <c r="E503" s="56"/>
      <c r="F503" s="56"/>
      <c r="G503" s="56"/>
      <c r="H503" s="50"/>
      <c r="I503" s="47"/>
      <c r="J503" s="47"/>
      <c r="K503" s="48" t="str">
        <f ca="1">IF(B503="","",IF(UPPER(J503)="Y","Vacant",IF(AND(G503&gt;0,G503&gt;=E503+F503),IF(AND(H503&lt;&gt;"",A503&lt;&gt;"",H503&gt;A503+Settings!$C$7),"Paid late","Paid"),IF(G503&gt;0,"Partial",IF(AND(A503&lt;&gt;"",TODAY()&gt;A503+Settings!$C$7),"Unpaid","Due")))))</f>
        <v/>
      </c>
      <c r="L503" s="52" t="str">
        <f t="shared" si="35"/>
        <v/>
      </c>
      <c r="M503" s="47"/>
      <c r="N503" s="48" t="str">
        <f t="shared" si="36"/>
        <v/>
      </c>
      <c r="O503" s="48" t="str">
        <f>IF(B503="","",COUNTIF($B$7:B503,B503))</f>
        <v/>
      </c>
      <c r="P503" s="48" t="str">
        <f t="shared" si="37"/>
        <v/>
      </c>
      <c r="Q503" s="48" t="str">
        <f t="shared" si="38"/>
        <v/>
      </c>
      <c r="R503" s="48" t="str">
        <f t="shared" si="39"/>
        <v/>
      </c>
    </row>
    <row r="504" spans="1:18" ht="16" x14ac:dyDescent="0.2">
      <c r="A504" s="50"/>
      <c r="B504" s="47"/>
      <c r="C504" s="48" t="str">
        <f>IF(B504="","",IFERROR(INDEX(Tenants!$B$6:$B$35,MATCH(B504,Tenants!$A$6:$A$35,0)),"Unit not found"))</f>
        <v/>
      </c>
      <c r="D504" s="48" t="str">
        <f>IF(B504="","",IF(J504="Y","(vacant)",IFERROR(INDEX(Tenants!$C$6:$C$35,MATCH(B504,Tenants!$A$6:$A$35,0)),"")))</f>
        <v/>
      </c>
      <c r="E504" s="56"/>
      <c r="F504" s="56"/>
      <c r="G504" s="56"/>
      <c r="H504" s="50"/>
      <c r="I504" s="47"/>
      <c r="J504" s="47"/>
      <c r="K504" s="48" t="str">
        <f ca="1">IF(B504="","",IF(UPPER(J504)="Y","Vacant",IF(AND(G504&gt;0,G504&gt;=E504+F504),IF(AND(H504&lt;&gt;"",A504&lt;&gt;"",H504&gt;A504+Settings!$C$7),"Paid late","Paid"),IF(G504&gt;0,"Partial",IF(AND(A504&lt;&gt;"",TODAY()&gt;A504+Settings!$C$7),"Unpaid","Due")))))</f>
        <v/>
      </c>
      <c r="L504" s="52" t="str">
        <f t="shared" si="35"/>
        <v/>
      </c>
      <c r="M504" s="47"/>
      <c r="N504" s="48" t="str">
        <f t="shared" si="36"/>
        <v/>
      </c>
      <c r="O504" s="48" t="str">
        <f>IF(B504="","",COUNTIF($B$7:B504,B504))</f>
        <v/>
      </c>
      <c r="P504" s="48" t="str">
        <f t="shared" si="37"/>
        <v/>
      </c>
      <c r="Q504" s="48" t="str">
        <f t="shared" si="38"/>
        <v/>
      </c>
      <c r="R504" s="48" t="str">
        <f t="shared" si="39"/>
        <v/>
      </c>
    </row>
    <row r="505" spans="1:18" ht="16" x14ac:dyDescent="0.2">
      <c r="A505" s="50"/>
      <c r="B505" s="47"/>
      <c r="C505" s="48" t="str">
        <f>IF(B505="","",IFERROR(INDEX(Tenants!$B$6:$B$35,MATCH(B505,Tenants!$A$6:$A$35,0)),"Unit not found"))</f>
        <v/>
      </c>
      <c r="D505" s="48" t="str">
        <f>IF(B505="","",IF(J505="Y","(vacant)",IFERROR(INDEX(Tenants!$C$6:$C$35,MATCH(B505,Tenants!$A$6:$A$35,0)),"")))</f>
        <v/>
      </c>
      <c r="E505" s="56"/>
      <c r="F505" s="56"/>
      <c r="G505" s="56"/>
      <c r="H505" s="50"/>
      <c r="I505" s="47"/>
      <c r="J505" s="47"/>
      <c r="K505" s="48" t="str">
        <f ca="1">IF(B505="","",IF(UPPER(J505)="Y","Vacant",IF(AND(G505&gt;0,G505&gt;=E505+F505),IF(AND(H505&lt;&gt;"",A505&lt;&gt;"",H505&gt;A505+Settings!$C$7),"Paid late","Paid"),IF(G505&gt;0,"Partial",IF(AND(A505&lt;&gt;"",TODAY()&gt;A505+Settings!$C$7),"Unpaid","Due")))))</f>
        <v/>
      </c>
      <c r="L505" s="52" t="str">
        <f t="shared" si="35"/>
        <v/>
      </c>
      <c r="M505" s="47"/>
      <c r="N505" s="48" t="str">
        <f t="shared" si="36"/>
        <v/>
      </c>
      <c r="O505" s="48" t="str">
        <f>IF(B505="","",COUNTIF($B$7:B505,B505))</f>
        <v/>
      </c>
      <c r="P505" s="48" t="str">
        <f t="shared" si="37"/>
        <v/>
      </c>
      <c r="Q505" s="48" t="str">
        <f t="shared" si="38"/>
        <v/>
      </c>
      <c r="R505" s="48" t="str">
        <f t="shared" si="39"/>
        <v/>
      </c>
    </row>
    <row r="506" spans="1:18" ht="16" x14ac:dyDescent="0.2">
      <c r="A506" s="50"/>
      <c r="B506" s="47"/>
      <c r="C506" s="48" t="str">
        <f>IF(B506="","",IFERROR(INDEX(Tenants!$B$6:$B$35,MATCH(B506,Tenants!$A$6:$A$35,0)),"Unit not found"))</f>
        <v/>
      </c>
      <c r="D506" s="48" t="str">
        <f>IF(B506="","",IF(J506="Y","(vacant)",IFERROR(INDEX(Tenants!$C$6:$C$35,MATCH(B506,Tenants!$A$6:$A$35,0)),"")))</f>
        <v/>
      </c>
      <c r="E506" s="56"/>
      <c r="F506" s="56"/>
      <c r="G506" s="56"/>
      <c r="H506" s="50"/>
      <c r="I506" s="47"/>
      <c r="J506" s="47"/>
      <c r="K506" s="48" t="str">
        <f ca="1">IF(B506="","",IF(UPPER(J506)="Y","Vacant",IF(AND(G506&gt;0,G506&gt;=E506+F506),IF(AND(H506&lt;&gt;"",A506&lt;&gt;"",H506&gt;A506+Settings!$C$7),"Paid late","Paid"),IF(G506&gt;0,"Partial",IF(AND(A506&lt;&gt;"",TODAY()&gt;A506+Settings!$C$7),"Unpaid","Due")))))</f>
        <v/>
      </c>
      <c r="L506" s="52" t="str">
        <f t="shared" si="35"/>
        <v/>
      </c>
      <c r="M506" s="47"/>
      <c r="N506" s="48" t="str">
        <f t="shared" si="36"/>
        <v/>
      </c>
      <c r="O506" s="48" t="str">
        <f>IF(B506="","",COUNTIF($B$7:B506,B506))</f>
        <v/>
      </c>
      <c r="P506" s="48" t="str">
        <f t="shared" si="37"/>
        <v/>
      </c>
      <c r="Q506" s="48" t="str">
        <f t="shared" si="38"/>
        <v/>
      </c>
      <c r="R506" s="48" t="str">
        <f t="shared" si="39"/>
        <v/>
      </c>
    </row>
  </sheetData>
  <conditionalFormatting sqref="A7:M506">
    <cfRule type="expression" dxfId="14" priority="2">
      <formula>$K7="Paid"</formula>
    </cfRule>
    <cfRule type="expression" dxfId="13" priority="3">
      <formula>$K7="Paid late"</formula>
    </cfRule>
    <cfRule type="expression" dxfId="12" priority="4">
      <formula>$K7="Partial"</formula>
    </cfRule>
    <cfRule type="expression" dxfId="11" priority="5">
      <formula>$K7="Unpaid"</formula>
    </cfRule>
    <cfRule type="expression" dxfId="10" priority="6">
      <formula>$K7="Vacant"</formula>
    </cfRule>
  </conditionalFormatting>
  <conditionalFormatting sqref="C7:C506">
    <cfRule type="expression" dxfId="9" priority="13">
      <formula>$C7="Unit not found"</formula>
    </cfRule>
  </conditionalFormatting>
  <conditionalFormatting sqref="K7:K506">
    <cfRule type="expression" dxfId="8" priority="7">
      <formula>$K7="Paid"</formula>
    </cfRule>
    <cfRule type="expression" dxfId="7" priority="8">
      <formula>$K7="Paid late"</formula>
    </cfRule>
    <cfRule type="expression" dxfId="6" priority="9">
      <formula>$K7="Partial"</formula>
    </cfRule>
    <cfRule type="expression" dxfId="5" priority="10">
      <formula>$K7="Unpaid"</formula>
    </cfRule>
    <cfRule type="expression" dxfId="4" priority="11">
      <formula>$K7="Vacant"</formula>
    </cfRule>
  </conditionalFormatting>
  <conditionalFormatting sqref="L7:L506">
    <cfRule type="cellIs" dxfId="3" priority="12" operator="greaterThan">
      <formula>0</formula>
    </cfRule>
  </conditionalFormatting>
  <dataValidations count="1">
    <dataValidation type="list" allowBlank="1" showErrorMessage="1" errorTitle="Pick from the list" error="Please choose a value from the dropdown." sqref="J7:J506" xr:uid="{00000000-0002-0000-0500-000002000000}">
      <formula1>"Y"</formula1>
      <formula2>0</formula2>
    </dataValidation>
  </dataValidation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2">
        <x14:dataValidation type="list" allowBlank="1" showErrorMessage="1" errorTitle="Pick from the list" error="Please choose a value from the dropdown." xr:uid="{00000000-0002-0000-0500-000000000000}">
          <x14:formula1>
            <xm:f>Tenants!$A$6:$A$35</xm:f>
          </x14:formula1>
          <x14:formula2>
            <xm:f>0</xm:f>
          </x14:formula2>
          <xm:sqref>B7:B506</xm:sqref>
        </x14:dataValidation>
        <x14:dataValidation type="list" allowBlank="1" showErrorMessage="1" errorTitle="Pick from the list" error="Please choose a value from the dropdown." xr:uid="{00000000-0002-0000-0500-000001000000}">
          <x14:formula1>
            <xm:f>Lists!$F$3:$F$10</xm:f>
          </x14:formula1>
          <x14:formula2>
            <xm:f>0</xm:f>
          </x14:formula2>
          <xm:sqref>I7:I506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32"/>
  <sheetViews>
    <sheetView showGridLines="0" zoomScaleNormal="100" workbookViewId="0">
      <pane ySplit="12" topLeftCell="A13" activePane="bottomLeft" state="frozen"/>
      <selection pane="bottomLeft"/>
    </sheetView>
  </sheetViews>
  <sheetFormatPr baseColWidth="10" defaultColWidth="8.6640625" defaultRowHeight="15" x14ac:dyDescent="0.2"/>
  <cols>
    <col min="1" max="1" width="5.83203125" customWidth="1"/>
    <col min="2" max="2" width="13.83203125" customWidth="1"/>
    <col min="3" max="3" width="16.1640625" customWidth="1"/>
    <col min="4" max="6" width="13.83203125" customWidth="1"/>
    <col min="7" max="7" width="17.1640625" customWidth="1"/>
    <col min="8" max="8" width="67.6640625" customWidth="1"/>
  </cols>
  <sheetData>
    <row r="1" spans="1:8" ht="30" customHeight="1" x14ac:dyDescent="0.25">
      <c r="A1" s="21" t="s">
        <v>22</v>
      </c>
    </row>
    <row r="2" spans="1:8" ht="16" x14ac:dyDescent="0.2">
      <c r="A2" s="22" t="s">
        <v>167</v>
      </c>
    </row>
    <row r="3" spans="1:8" x14ac:dyDescent="0.2">
      <c r="A3" s="23" t="s">
        <v>1</v>
      </c>
    </row>
    <row r="5" spans="1:8" ht="17" x14ac:dyDescent="0.2">
      <c r="A5" s="2" t="s">
        <v>168</v>
      </c>
      <c r="B5" s="2"/>
      <c r="C5" s="1"/>
      <c r="D5" s="1"/>
      <c r="F5" s="53" t="s">
        <v>169</v>
      </c>
    </row>
    <row r="6" spans="1:8" ht="20" x14ac:dyDescent="0.2">
      <c r="A6" s="77" t="s">
        <v>61</v>
      </c>
      <c r="B6" s="77"/>
      <c r="C6" s="57" t="str">
        <f>IFERROR(INDEX(Tenants!$B$6:$B$35,MATCH($C$5,Tenants!$A$6:$A$35,0)),"")</f>
        <v/>
      </c>
      <c r="F6" s="58">
        <f>IFERROR(LOOKUP(2,1/(G13:G132&lt;&gt;""),G13:G132),0)</f>
        <v>0</v>
      </c>
    </row>
    <row r="7" spans="1:8" ht="16" x14ac:dyDescent="0.2">
      <c r="A7" s="77" t="s">
        <v>153</v>
      </c>
      <c r="B7" s="77"/>
      <c r="C7" s="57" t="str">
        <f>IFERROR(INDEX(Tenants!$C$6:$C$35,MATCH($C$5,Tenants!$A$6:$A$35,0)),"")</f>
        <v/>
      </c>
      <c r="F7" s="25" t="s">
        <v>170</v>
      </c>
      <c r="G7" s="59">
        <f ca="1">TODAY()</f>
        <v>46324</v>
      </c>
    </row>
    <row r="8" spans="1:8" ht="16" x14ac:dyDescent="0.2">
      <c r="A8" s="77" t="s">
        <v>171</v>
      </c>
      <c r="B8" s="77"/>
      <c r="C8" s="60" t="str">
        <f>IFERROR(INDEX(Tenants!$H$6:$H$35,MATCH($C$5,Tenants!$A$6:$A$35,0)),"")</f>
        <v/>
      </c>
    </row>
    <row r="9" spans="1:8" ht="16" x14ac:dyDescent="0.2">
      <c r="A9" s="77" t="s">
        <v>172</v>
      </c>
      <c r="B9" s="77"/>
      <c r="C9" s="60" t="str">
        <f>IFERROR(INDEX(Tenants!$J$6:$J$35,MATCH($C$5,Tenants!$A$6:$A$35,0)),"")</f>
        <v/>
      </c>
    </row>
    <row r="10" spans="1:8" x14ac:dyDescent="0.2">
      <c r="A10" s="25" t="s">
        <v>173</v>
      </c>
    </row>
    <row r="12" spans="1:8" ht="48" customHeight="1" x14ac:dyDescent="0.2">
      <c r="A12" s="46" t="s">
        <v>174</v>
      </c>
      <c r="B12" s="46" t="s">
        <v>151</v>
      </c>
      <c r="C12" s="46" t="s">
        <v>175</v>
      </c>
      <c r="D12" s="46" t="s">
        <v>176</v>
      </c>
      <c r="E12" s="46" t="s">
        <v>157</v>
      </c>
      <c r="F12" s="46" t="s">
        <v>160</v>
      </c>
      <c r="G12" s="46" t="s">
        <v>177</v>
      </c>
      <c r="H12" s="46" t="s">
        <v>108</v>
      </c>
    </row>
    <row r="13" spans="1:8" ht="16" x14ac:dyDescent="0.2">
      <c r="A13" s="47" t="str">
        <f>IF(ISNUMBER(MATCH($C$5&amp;"|"&amp;1,'Rent Log'!$P$7:$P$506,0)),1,"")</f>
        <v/>
      </c>
      <c r="B13" s="50" t="str">
        <f>IF(A13="","",INDEX('Rent Log'!$A$7:$A$506,MATCH($C$5&amp;"|"&amp;1,'Rent Log'!$P$7:$P$506,0)))</f>
        <v/>
      </c>
      <c r="C13" s="56" t="str">
        <f>IF(A13="","",IF(INDEX('Rent Log'!$K$7:$K$506,MATCH($C$5&amp;"|"&amp;1,'Rent Log'!$P$7:$P$506,0))="Vacant",0,INDEX('Rent Log'!$E$7:$E$506,MATCH($C$5&amp;"|"&amp;1,'Rent Log'!$P$7:$P$506,0))+INDEX('Rent Log'!$F$7:$F$506,MATCH($C$5&amp;"|"&amp;1,'Rent Log'!$P$7:$P$506,0))))</f>
        <v/>
      </c>
      <c r="D13" s="56" t="str">
        <f>IF(A13="","",IF(INDEX('Rent Log'!$K$7:$K$506,MATCH($C$5&amp;"|"&amp;1,'Rent Log'!$P$7:$P$506,0))="Vacant",0,INDEX('Rent Log'!$G$7:$G$506,MATCH($C$5&amp;"|"&amp;1,'Rent Log'!$P$7:$P$506,0))))</f>
        <v/>
      </c>
      <c r="E13" s="50" t="str">
        <f>IF(A13="","",IF(INDEX('Rent Log'!$H$7:$H$506,MATCH($C$5&amp;"|"&amp;1,'Rent Log'!$P$7:$P$506,0))="","",INDEX('Rent Log'!$H$7:$H$506,MATCH($C$5&amp;"|"&amp;1,'Rent Log'!$P$7:$P$506,0))))</f>
        <v/>
      </c>
      <c r="F13" s="47" t="str">
        <f>IF(A13="","",INDEX('Rent Log'!$K$7:$K$506,MATCH($C$5&amp;"|"&amp;1,'Rent Log'!$P$7:$P$506,0)))</f>
        <v/>
      </c>
      <c r="G13" s="56" t="str">
        <f>IF(A13="","",0+C13-D13)</f>
        <v/>
      </c>
      <c r="H13" s="47" t="str">
        <f>IF(A13="","",INDEX('Rent Log'!$M$7:$M$506,MATCH($C$5&amp;"|"&amp;1,'Rent Log'!$P$7:$P$506,0))&amp;"")</f>
        <v/>
      </c>
    </row>
    <row r="14" spans="1:8" ht="16" x14ac:dyDescent="0.2">
      <c r="A14" s="47" t="str">
        <f>IF(ISNUMBER(MATCH($C$5&amp;"|"&amp;2,'Rent Log'!$P$7:$P$506,0)),2,"")</f>
        <v/>
      </c>
      <c r="B14" s="50" t="str">
        <f>IF(A14="","",INDEX('Rent Log'!$A$7:$A$506,MATCH($C$5&amp;"|"&amp;2,'Rent Log'!$P$7:$P$506,0)))</f>
        <v/>
      </c>
      <c r="C14" s="56" t="str">
        <f>IF(A14="","",IF(INDEX('Rent Log'!$K$7:$K$506,MATCH($C$5&amp;"|"&amp;2,'Rent Log'!$P$7:$P$506,0))="Vacant",0,INDEX('Rent Log'!$E$7:$E$506,MATCH($C$5&amp;"|"&amp;2,'Rent Log'!$P$7:$P$506,0))+INDEX('Rent Log'!$F$7:$F$506,MATCH($C$5&amp;"|"&amp;2,'Rent Log'!$P$7:$P$506,0))))</f>
        <v/>
      </c>
      <c r="D14" s="56" t="str">
        <f>IF(A14="","",IF(INDEX('Rent Log'!$K$7:$K$506,MATCH($C$5&amp;"|"&amp;2,'Rent Log'!$P$7:$P$506,0))="Vacant",0,INDEX('Rent Log'!$G$7:$G$506,MATCH($C$5&amp;"|"&amp;2,'Rent Log'!$P$7:$P$506,0))))</f>
        <v/>
      </c>
      <c r="E14" s="50" t="str">
        <f>IF(A14="","",IF(INDEX('Rent Log'!$H$7:$H$506,MATCH($C$5&amp;"|"&amp;2,'Rent Log'!$P$7:$P$506,0))="","",INDEX('Rent Log'!$H$7:$H$506,MATCH($C$5&amp;"|"&amp;2,'Rent Log'!$P$7:$P$506,0))))</f>
        <v/>
      </c>
      <c r="F14" s="47" t="str">
        <f>IF(A14="","",INDEX('Rent Log'!$K$7:$K$506,MATCH($C$5&amp;"|"&amp;2,'Rent Log'!$P$7:$P$506,0)))</f>
        <v/>
      </c>
      <c r="G14" s="56" t="str">
        <f t="shared" ref="G14:G45" si="0">IF(A14="","",N(G13)+C14-D14)</f>
        <v/>
      </c>
      <c r="H14" s="47" t="str">
        <f>IF(A14="","",INDEX('Rent Log'!$M$7:$M$506,MATCH($C$5&amp;"|"&amp;2,'Rent Log'!$P$7:$P$506,0))&amp;"")</f>
        <v/>
      </c>
    </row>
    <row r="15" spans="1:8" ht="16" x14ac:dyDescent="0.2">
      <c r="A15" s="47" t="str">
        <f>IF(ISNUMBER(MATCH($C$5&amp;"|"&amp;3,'Rent Log'!$P$7:$P$506,0)),3,"")</f>
        <v/>
      </c>
      <c r="B15" s="50" t="str">
        <f>IF(A15="","",INDEX('Rent Log'!$A$7:$A$506,MATCH($C$5&amp;"|"&amp;3,'Rent Log'!$P$7:$P$506,0)))</f>
        <v/>
      </c>
      <c r="C15" s="56" t="str">
        <f>IF(A15="","",IF(INDEX('Rent Log'!$K$7:$K$506,MATCH($C$5&amp;"|"&amp;3,'Rent Log'!$P$7:$P$506,0))="Vacant",0,INDEX('Rent Log'!$E$7:$E$506,MATCH($C$5&amp;"|"&amp;3,'Rent Log'!$P$7:$P$506,0))+INDEX('Rent Log'!$F$7:$F$506,MATCH($C$5&amp;"|"&amp;3,'Rent Log'!$P$7:$P$506,0))))</f>
        <v/>
      </c>
      <c r="D15" s="56" t="str">
        <f>IF(A15="","",IF(INDEX('Rent Log'!$K$7:$K$506,MATCH($C$5&amp;"|"&amp;3,'Rent Log'!$P$7:$P$506,0))="Vacant",0,INDEX('Rent Log'!$G$7:$G$506,MATCH($C$5&amp;"|"&amp;3,'Rent Log'!$P$7:$P$506,0))))</f>
        <v/>
      </c>
      <c r="E15" s="50" t="str">
        <f>IF(A15="","",IF(INDEX('Rent Log'!$H$7:$H$506,MATCH($C$5&amp;"|"&amp;3,'Rent Log'!$P$7:$P$506,0))="","",INDEX('Rent Log'!$H$7:$H$506,MATCH($C$5&amp;"|"&amp;3,'Rent Log'!$P$7:$P$506,0))))</f>
        <v/>
      </c>
      <c r="F15" s="47" t="str">
        <f>IF(A15="","",INDEX('Rent Log'!$K$7:$K$506,MATCH($C$5&amp;"|"&amp;3,'Rent Log'!$P$7:$P$506,0)))</f>
        <v/>
      </c>
      <c r="G15" s="56" t="str">
        <f t="shared" si="0"/>
        <v/>
      </c>
      <c r="H15" s="47" t="str">
        <f>IF(A15="","",INDEX('Rent Log'!$M$7:$M$506,MATCH($C$5&amp;"|"&amp;3,'Rent Log'!$P$7:$P$506,0))&amp;"")</f>
        <v/>
      </c>
    </row>
    <row r="16" spans="1:8" ht="16" x14ac:dyDescent="0.2">
      <c r="A16" s="47" t="str">
        <f>IF(ISNUMBER(MATCH($C$5&amp;"|"&amp;4,'Rent Log'!$P$7:$P$506,0)),4,"")</f>
        <v/>
      </c>
      <c r="B16" s="50" t="str">
        <f>IF(A16="","",INDEX('Rent Log'!$A$7:$A$506,MATCH($C$5&amp;"|"&amp;4,'Rent Log'!$P$7:$P$506,0)))</f>
        <v/>
      </c>
      <c r="C16" s="56" t="str">
        <f>IF(A16="","",IF(INDEX('Rent Log'!$K$7:$K$506,MATCH($C$5&amp;"|"&amp;4,'Rent Log'!$P$7:$P$506,0))="Vacant",0,INDEX('Rent Log'!$E$7:$E$506,MATCH($C$5&amp;"|"&amp;4,'Rent Log'!$P$7:$P$506,0))+INDEX('Rent Log'!$F$7:$F$506,MATCH($C$5&amp;"|"&amp;4,'Rent Log'!$P$7:$P$506,0))))</f>
        <v/>
      </c>
      <c r="D16" s="56" t="str">
        <f>IF(A16="","",IF(INDEX('Rent Log'!$K$7:$K$506,MATCH($C$5&amp;"|"&amp;4,'Rent Log'!$P$7:$P$506,0))="Vacant",0,INDEX('Rent Log'!$G$7:$G$506,MATCH($C$5&amp;"|"&amp;4,'Rent Log'!$P$7:$P$506,0))))</f>
        <v/>
      </c>
      <c r="E16" s="50" t="str">
        <f>IF(A16="","",IF(INDEX('Rent Log'!$H$7:$H$506,MATCH($C$5&amp;"|"&amp;4,'Rent Log'!$P$7:$P$506,0))="","",INDEX('Rent Log'!$H$7:$H$506,MATCH($C$5&amp;"|"&amp;4,'Rent Log'!$P$7:$P$506,0))))</f>
        <v/>
      </c>
      <c r="F16" s="47" t="str">
        <f>IF(A16="","",INDEX('Rent Log'!$K$7:$K$506,MATCH($C$5&amp;"|"&amp;4,'Rent Log'!$P$7:$P$506,0)))</f>
        <v/>
      </c>
      <c r="G16" s="56" t="str">
        <f t="shared" si="0"/>
        <v/>
      </c>
      <c r="H16" s="47" t="str">
        <f>IF(A16="","",INDEX('Rent Log'!$M$7:$M$506,MATCH($C$5&amp;"|"&amp;4,'Rent Log'!$P$7:$P$506,0))&amp;"")</f>
        <v/>
      </c>
    </row>
    <row r="17" spans="1:8" ht="16" x14ac:dyDescent="0.2">
      <c r="A17" s="47" t="str">
        <f>IF(ISNUMBER(MATCH($C$5&amp;"|"&amp;5,'Rent Log'!$P$7:$P$506,0)),5,"")</f>
        <v/>
      </c>
      <c r="B17" s="50" t="str">
        <f>IF(A17="","",INDEX('Rent Log'!$A$7:$A$506,MATCH($C$5&amp;"|"&amp;5,'Rent Log'!$P$7:$P$506,0)))</f>
        <v/>
      </c>
      <c r="C17" s="56" t="str">
        <f>IF(A17="","",IF(INDEX('Rent Log'!$K$7:$K$506,MATCH($C$5&amp;"|"&amp;5,'Rent Log'!$P$7:$P$506,0))="Vacant",0,INDEX('Rent Log'!$E$7:$E$506,MATCH($C$5&amp;"|"&amp;5,'Rent Log'!$P$7:$P$506,0))+INDEX('Rent Log'!$F$7:$F$506,MATCH($C$5&amp;"|"&amp;5,'Rent Log'!$P$7:$P$506,0))))</f>
        <v/>
      </c>
      <c r="D17" s="56" t="str">
        <f>IF(A17="","",IF(INDEX('Rent Log'!$K$7:$K$506,MATCH($C$5&amp;"|"&amp;5,'Rent Log'!$P$7:$P$506,0))="Vacant",0,INDEX('Rent Log'!$G$7:$G$506,MATCH($C$5&amp;"|"&amp;5,'Rent Log'!$P$7:$P$506,0))))</f>
        <v/>
      </c>
      <c r="E17" s="50" t="str">
        <f>IF(A17="","",IF(INDEX('Rent Log'!$H$7:$H$506,MATCH($C$5&amp;"|"&amp;5,'Rent Log'!$P$7:$P$506,0))="","",INDEX('Rent Log'!$H$7:$H$506,MATCH($C$5&amp;"|"&amp;5,'Rent Log'!$P$7:$P$506,0))))</f>
        <v/>
      </c>
      <c r="F17" s="47" t="str">
        <f>IF(A17="","",INDEX('Rent Log'!$K$7:$K$506,MATCH($C$5&amp;"|"&amp;5,'Rent Log'!$P$7:$P$506,0)))</f>
        <v/>
      </c>
      <c r="G17" s="56" t="str">
        <f t="shared" si="0"/>
        <v/>
      </c>
      <c r="H17" s="47" t="str">
        <f>IF(A17="","",INDEX('Rent Log'!$M$7:$M$506,MATCH($C$5&amp;"|"&amp;5,'Rent Log'!$P$7:$P$506,0))&amp;"")</f>
        <v/>
      </c>
    </row>
    <row r="18" spans="1:8" ht="16" x14ac:dyDescent="0.2">
      <c r="A18" s="47" t="str">
        <f>IF(ISNUMBER(MATCH($C$5&amp;"|"&amp;6,'Rent Log'!$P$7:$P$506,0)),6,"")</f>
        <v/>
      </c>
      <c r="B18" s="50" t="str">
        <f>IF(A18="","",INDEX('Rent Log'!$A$7:$A$506,MATCH($C$5&amp;"|"&amp;6,'Rent Log'!$P$7:$P$506,0)))</f>
        <v/>
      </c>
      <c r="C18" s="56" t="str">
        <f>IF(A18="","",IF(INDEX('Rent Log'!$K$7:$K$506,MATCH($C$5&amp;"|"&amp;6,'Rent Log'!$P$7:$P$506,0))="Vacant",0,INDEX('Rent Log'!$E$7:$E$506,MATCH($C$5&amp;"|"&amp;6,'Rent Log'!$P$7:$P$506,0))+INDEX('Rent Log'!$F$7:$F$506,MATCH($C$5&amp;"|"&amp;6,'Rent Log'!$P$7:$P$506,0))))</f>
        <v/>
      </c>
      <c r="D18" s="56" t="str">
        <f>IF(A18="","",IF(INDEX('Rent Log'!$K$7:$K$506,MATCH($C$5&amp;"|"&amp;6,'Rent Log'!$P$7:$P$506,0))="Vacant",0,INDEX('Rent Log'!$G$7:$G$506,MATCH($C$5&amp;"|"&amp;6,'Rent Log'!$P$7:$P$506,0))))</f>
        <v/>
      </c>
      <c r="E18" s="50" t="str">
        <f>IF(A18="","",IF(INDEX('Rent Log'!$H$7:$H$506,MATCH($C$5&amp;"|"&amp;6,'Rent Log'!$P$7:$P$506,0))="","",INDEX('Rent Log'!$H$7:$H$506,MATCH($C$5&amp;"|"&amp;6,'Rent Log'!$P$7:$P$506,0))))</f>
        <v/>
      </c>
      <c r="F18" s="47" t="str">
        <f>IF(A18="","",INDEX('Rent Log'!$K$7:$K$506,MATCH($C$5&amp;"|"&amp;6,'Rent Log'!$P$7:$P$506,0)))</f>
        <v/>
      </c>
      <c r="G18" s="56" t="str">
        <f t="shared" si="0"/>
        <v/>
      </c>
      <c r="H18" s="47" t="str">
        <f>IF(A18="","",INDEX('Rent Log'!$M$7:$M$506,MATCH($C$5&amp;"|"&amp;6,'Rent Log'!$P$7:$P$506,0))&amp;"")</f>
        <v/>
      </c>
    </row>
    <row r="19" spans="1:8" ht="16" x14ac:dyDescent="0.2">
      <c r="A19" s="47" t="str">
        <f>IF(ISNUMBER(MATCH($C$5&amp;"|"&amp;7,'Rent Log'!$P$7:$P$506,0)),7,"")</f>
        <v/>
      </c>
      <c r="B19" s="50" t="str">
        <f>IF(A19="","",INDEX('Rent Log'!$A$7:$A$506,MATCH($C$5&amp;"|"&amp;7,'Rent Log'!$P$7:$P$506,0)))</f>
        <v/>
      </c>
      <c r="C19" s="56" t="str">
        <f>IF(A19="","",IF(INDEX('Rent Log'!$K$7:$K$506,MATCH($C$5&amp;"|"&amp;7,'Rent Log'!$P$7:$P$506,0))="Vacant",0,INDEX('Rent Log'!$E$7:$E$506,MATCH($C$5&amp;"|"&amp;7,'Rent Log'!$P$7:$P$506,0))+INDEX('Rent Log'!$F$7:$F$506,MATCH($C$5&amp;"|"&amp;7,'Rent Log'!$P$7:$P$506,0))))</f>
        <v/>
      </c>
      <c r="D19" s="56" t="str">
        <f>IF(A19="","",IF(INDEX('Rent Log'!$K$7:$K$506,MATCH($C$5&amp;"|"&amp;7,'Rent Log'!$P$7:$P$506,0))="Vacant",0,INDEX('Rent Log'!$G$7:$G$506,MATCH($C$5&amp;"|"&amp;7,'Rent Log'!$P$7:$P$506,0))))</f>
        <v/>
      </c>
      <c r="E19" s="50" t="str">
        <f>IF(A19="","",IF(INDEX('Rent Log'!$H$7:$H$506,MATCH($C$5&amp;"|"&amp;7,'Rent Log'!$P$7:$P$506,0))="","",INDEX('Rent Log'!$H$7:$H$506,MATCH($C$5&amp;"|"&amp;7,'Rent Log'!$P$7:$P$506,0))))</f>
        <v/>
      </c>
      <c r="F19" s="47" t="str">
        <f>IF(A19="","",INDEX('Rent Log'!$K$7:$K$506,MATCH($C$5&amp;"|"&amp;7,'Rent Log'!$P$7:$P$506,0)))</f>
        <v/>
      </c>
      <c r="G19" s="56" t="str">
        <f t="shared" si="0"/>
        <v/>
      </c>
      <c r="H19" s="47" t="str">
        <f>IF(A19="","",INDEX('Rent Log'!$M$7:$M$506,MATCH($C$5&amp;"|"&amp;7,'Rent Log'!$P$7:$P$506,0))&amp;"")</f>
        <v/>
      </c>
    </row>
    <row r="20" spans="1:8" ht="16" x14ac:dyDescent="0.2">
      <c r="A20" s="47" t="str">
        <f>IF(ISNUMBER(MATCH($C$5&amp;"|"&amp;8,'Rent Log'!$P$7:$P$506,0)),8,"")</f>
        <v/>
      </c>
      <c r="B20" s="50" t="str">
        <f>IF(A20="","",INDEX('Rent Log'!$A$7:$A$506,MATCH($C$5&amp;"|"&amp;8,'Rent Log'!$P$7:$P$506,0)))</f>
        <v/>
      </c>
      <c r="C20" s="56" t="str">
        <f>IF(A20="","",IF(INDEX('Rent Log'!$K$7:$K$506,MATCH($C$5&amp;"|"&amp;8,'Rent Log'!$P$7:$P$506,0))="Vacant",0,INDEX('Rent Log'!$E$7:$E$506,MATCH($C$5&amp;"|"&amp;8,'Rent Log'!$P$7:$P$506,0))+INDEX('Rent Log'!$F$7:$F$506,MATCH($C$5&amp;"|"&amp;8,'Rent Log'!$P$7:$P$506,0))))</f>
        <v/>
      </c>
      <c r="D20" s="56" t="str">
        <f>IF(A20="","",IF(INDEX('Rent Log'!$K$7:$K$506,MATCH($C$5&amp;"|"&amp;8,'Rent Log'!$P$7:$P$506,0))="Vacant",0,INDEX('Rent Log'!$G$7:$G$506,MATCH($C$5&amp;"|"&amp;8,'Rent Log'!$P$7:$P$506,0))))</f>
        <v/>
      </c>
      <c r="E20" s="50" t="str">
        <f>IF(A20="","",IF(INDEX('Rent Log'!$H$7:$H$506,MATCH($C$5&amp;"|"&amp;8,'Rent Log'!$P$7:$P$506,0))="","",INDEX('Rent Log'!$H$7:$H$506,MATCH($C$5&amp;"|"&amp;8,'Rent Log'!$P$7:$P$506,0))))</f>
        <v/>
      </c>
      <c r="F20" s="47" t="str">
        <f>IF(A20="","",INDEX('Rent Log'!$K$7:$K$506,MATCH($C$5&amp;"|"&amp;8,'Rent Log'!$P$7:$P$506,0)))</f>
        <v/>
      </c>
      <c r="G20" s="56" t="str">
        <f t="shared" si="0"/>
        <v/>
      </c>
      <c r="H20" s="47" t="str">
        <f>IF(A20="","",INDEX('Rent Log'!$M$7:$M$506,MATCH($C$5&amp;"|"&amp;8,'Rent Log'!$P$7:$P$506,0))&amp;"")</f>
        <v/>
      </c>
    </row>
    <row r="21" spans="1:8" ht="16" x14ac:dyDescent="0.2">
      <c r="A21" s="47" t="str">
        <f>IF(ISNUMBER(MATCH($C$5&amp;"|"&amp;9,'Rent Log'!$P$7:$P$506,0)),9,"")</f>
        <v/>
      </c>
      <c r="B21" s="50" t="str">
        <f>IF(A21="","",INDEX('Rent Log'!$A$7:$A$506,MATCH($C$5&amp;"|"&amp;9,'Rent Log'!$P$7:$P$506,0)))</f>
        <v/>
      </c>
      <c r="C21" s="56" t="str">
        <f>IF(A21="","",IF(INDEX('Rent Log'!$K$7:$K$506,MATCH($C$5&amp;"|"&amp;9,'Rent Log'!$P$7:$P$506,0))="Vacant",0,INDEX('Rent Log'!$E$7:$E$506,MATCH($C$5&amp;"|"&amp;9,'Rent Log'!$P$7:$P$506,0))+INDEX('Rent Log'!$F$7:$F$506,MATCH($C$5&amp;"|"&amp;9,'Rent Log'!$P$7:$P$506,0))))</f>
        <v/>
      </c>
      <c r="D21" s="56" t="str">
        <f>IF(A21="","",IF(INDEX('Rent Log'!$K$7:$K$506,MATCH($C$5&amp;"|"&amp;9,'Rent Log'!$P$7:$P$506,0))="Vacant",0,INDEX('Rent Log'!$G$7:$G$506,MATCH($C$5&amp;"|"&amp;9,'Rent Log'!$P$7:$P$506,0))))</f>
        <v/>
      </c>
      <c r="E21" s="50" t="str">
        <f>IF(A21="","",IF(INDEX('Rent Log'!$H$7:$H$506,MATCH($C$5&amp;"|"&amp;9,'Rent Log'!$P$7:$P$506,0))="","",INDEX('Rent Log'!$H$7:$H$506,MATCH($C$5&amp;"|"&amp;9,'Rent Log'!$P$7:$P$506,0))))</f>
        <v/>
      </c>
      <c r="F21" s="47" t="str">
        <f>IF(A21="","",INDEX('Rent Log'!$K$7:$K$506,MATCH($C$5&amp;"|"&amp;9,'Rent Log'!$P$7:$P$506,0)))</f>
        <v/>
      </c>
      <c r="G21" s="56" t="str">
        <f t="shared" si="0"/>
        <v/>
      </c>
      <c r="H21" s="47" t="str">
        <f>IF(A21="","",INDEX('Rent Log'!$M$7:$M$506,MATCH($C$5&amp;"|"&amp;9,'Rent Log'!$P$7:$P$506,0))&amp;"")</f>
        <v/>
      </c>
    </row>
    <row r="22" spans="1:8" ht="16" x14ac:dyDescent="0.2">
      <c r="A22" s="47" t="str">
        <f>IF(ISNUMBER(MATCH($C$5&amp;"|"&amp;10,'Rent Log'!$P$7:$P$506,0)),10,"")</f>
        <v/>
      </c>
      <c r="B22" s="50" t="str">
        <f>IF(A22="","",INDEX('Rent Log'!$A$7:$A$506,MATCH($C$5&amp;"|"&amp;10,'Rent Log'!$P$7:$P$506,0)))</f>
        <v/>
      </c>
      <c r="C22" s="56" t="str">
        <f>IF(A22="","",IF(INDEX('Rent Log'!$K$7:$K$506,MATCH($C$5&amp;"|"&amp;10,'Rent Log'!$P$7:$P$506,0))="Vacant",0,INDEX('Rent Log'!$E$7:$E$506,MATCH($C$5&amp;"|"&amp;10,'Rent Log'!$P$7:$P$506,0))+INDEX('Rent Log'!$F$7:$F$506,MATCH($C$5&amp;"|"&amp;10,'Rent Log'!$P$7:$P$506,0))))</f>
        <v/>
      </c>
      <c r="D22" s="56" t="str">
        <f>IF(A22="","",IF(INDEX('Rent Log'!$K$7:$K$506,MATCH($C$5&amp;"|"&amp;10,'Rent Log'!$P$7:$P$506,0))="Vacant",0,INDEX('Rent Log'!$G$7:$G$506,MATCH($C$5&amp;"|"&amp;10,'Rent Log'!$P$7:$P$506,0))))</f>
        <v/>
      </c>
      <c r="E22" s="50" t="str">
        <f>IF(A22="","",IF(INDEX('Rent Log'!$H$7:$H$506,MATCH($C$5&amp;"|"&amp;10,'Rent Log'!$P$7:$P$506,0))="","",INDEX('Rent Log'!$H$7:$H$506,MATCH($C$5&amp;"|"&amp;10,'Rent Log'!$P$7:$P$506,0))))</f>
        <v/>
      </c>
      <c r="F22" s="47" t="str">
        <f>IF(A22="","",INDEX('Rent Log'!$K$7:$K$506,MATCH($C$5&amp;"|"&amp;10,'Rent Log'!$P$7:$P$506,0)))</f>
        <v/>
      </c>
      <c r="G22" s="56" t="str">
        <f t="shared" si="0"/>
        <v/>
      </c>
      <c r="H22" s="47" t="str">
        <f>IF(A22="","",INDEX('Rent Log'!$M$7:$M$506,MATCH($C$5&amp;"|"&amp;10,'Rent Log'!$P$7:$P$506,0))&amp;"")</f>
        <v/>
      </c>
    </row>
    <row r="23" spans="1:8" ht="16" x14ac:dyDescent="0.2">
      <c r="A23" s="47" t="str">
        <f>IF(ISNUMBER(MATCH($C$5&amp;"|"&amp;11,'Rent Log'!$P$7:$P$506,0)),11,"")</f>
        <v/>
      </c>
      <c r="B23" s="50" t="str">
        <f>IF(A23="","",INDEX('Rent Log'!$A$7:$A$506,MATCH($C$5&amp;"|"&amp;11,'Rent Log'!$P$7:$P$506,0)))</f>
        <v/>
      </c>
      <c r="C23" s="56" t="str">
        <f>IF(A23="","",IF(INDEX('Rent Log'!$K$7:$K$506,MATCH($C$5&amp;"|"&amp;11,'Rent Log'!$P$7:$P$506,0))="Vacant",0,INDEX('Rent Log'!$E$7:$E$506,MATCH($C$5&amp;"|"&amp;11,'Rent Log'!$P$7:$P$506,0))+INDEX('Rent Log'!$F$7:$F$506,MATCH($C$5&amp;"|"&amp;11,'Rent Log'!$P$7:$P$506,0))))</f>
        <v/>
      </c>
      <c r="D23" s="56" t="str">
        <f>IF(A23="","",IF(INDEX('Rent Log'!$K$7:$K$506,MATCH($C$5&amp;"|"&amp;11,'Rent Log'!$P$7:$P$506,0))="Vacant",0,INDEX('Rent Log'!$G$7:$G$506,MATCH($C$5&amp;"|"&amp;11,'Rent Log'!$P$7:$P$506,0))))</f>
        <v/>
      </c>
      <c r="E23" s="50" t="str">
        <f>IF(A23="","",IF(INDEX('Rent Log'!$H$7:$H$506,MATCH($C$5&amp;"|"&amp;11,'Rent Log'!$P$7:$P$506,0))="","",INDEX('Rent Log'!$H$7:$H$506,MATCH($C$5&amp;"|"&amp;11,'Rent Log'!$P$7:$P$506,0))))</f>
        <v/>
      </c>
      <c r="F23" s="47" t="str">
        <f>IF(A23="","",INDEX('Rent Log'!$K$7:$K$506,MATCH($C$5&amp;"|"&amp;11,'Rent Log'!$P$7:$P$506,0)))</f>
        <v/>
      </c>
      <c r="G23" s="56" t="str">
        <f t="shared" si="0"/>
        <v/>
      </c>
      <c r="H23" s="47" t="str">
        <f>IF(A23="","",INDEX('Rent Log'!$M$7:$M$506,MATCH($C$5&amp;"|"&amp;11,'Rent Log'!$P$7:$P$506,0))&amp;"")</f>
        <v/>
      </c>
    </row>
    <row r="24" spans="1:8" ht="16" x14ac:dyDescent="0.2">
      <c r="A24" s="47" t="str">
        <f>IF(ISNUMBER(MATCH($C$5&amp;"|"&amp;12,'Rent Log'!$P$7:$P$506,0)),12,"")</f>
        <v/>
      </c>
      <c r="B24" s="50" t="str">
        <f>IF(A24="","",INDEX('Rent Log'!$A$7:$A$506,MATCH($C$5&amp;"|"&amp;12,'Rent Log'!$P$7:$P$506,0)))</f>
        <v/>
      </c>
      <c r="C24" s="56" t="str">
        <f>IF(A24="","",IF(INDEX('Rent Log'!$K$7:$K$506,MATCH($C$5&amp;"|"&amp;12,'Rent Log'!$P$7:$P$506,0))="Vacant",0,INDEX('Rent Log'!$E$7:$E$506,MATCH($C$5&amp;"|"&amp;12,'Rent Log'!$P$7:$P$506,0))+INDEX('Rent Log'!$F$7:$F$506,MATCH($C$5&amp;"|"&amp;12,'Rent Log'!$P$7:$P$506,0))))</f>
        <v/>
      </c>
      <c r="D24" s="56" t="str">
        <f>IF(A24="","",IF(INDEX('Rent Log'!$K$7:$K$506,MATCH($C$5&amp;"|"&amp;12,'Rent Log'!$P$7:$P$506,0))="Vacant",0,INDEX('Rent Log'!$G$7:$G$506,MATCH($C$5&amp;"|"&amp;12,'Rent Log'!$P$7:$P$506,0))))</f>
        <v/>
      </c>
      <c r="E24" s="50" t="str">
        <f>IF(A24="","",IF(INDEX('Rent Log'!$H$7:$H$506,MATCH($C$5&amp;"|"&amp;12,'Rent Log'!$P$7:$P$506,0))="","",INDEX('Rent Log'!$H$7:$H$506,MATCH($C$5&amp;"|"&amp;12,'Rent Log'!$P$7:$P$506,0))))</f>
        <v/>
      </c>
      <c r="F24" s="47" t="str">
        <f>IF(A24="","",INDEX('Rent Log'!$K$7:$K$506,MATCH($C$5&amp;"|"&amp;12,'Rent Log'!$P$7:$P$506,0)))</f>
        <v/>
      </c>
      <c r="G24" s="56" t="str">
        <f t="shared" si="0"/>
        <v/>
      </c>
      <c r="H24" s="47" t="str">
        <f>IF(A24="","",INDEX('Rent Log'!$M$7:$M$506,MATCH($C$5&amp;"|"&amp;12,'Rent Log'!$P$7:$P$506,0))&amp;"")</f>
        <v/>
      </c>
    </row>
    <row r="25" spans="1:8" ht="16" x14ac:dyDescent="0.2">
      <c r="A25" s="47" t="str">
        <f>IF(ISNUMBER(MATCH($C$5&amp;"|"&amp;13,'Rent Log'!$P$7:$P$506,0)),13,"")</f>
        <v/>
      </c>
      <c r="B25" s="50" t="str">
        <f>IF(A25="","",INDEX('Rent Log'!$A$7:$A$506,MATCH($C$5&amp;"|"&amp;13,'Rent Log'!$P$7:$P$506,0)))</f>
        <v/>
      </c>
      <c r="C25" s="56" t="str">
        <f>IF(A25="","",IF(INDEX('Rent Log'!$K$7:$K$506,MATCH($C$5&amp;"|"&amp;13,'Rent Log'!$P$7:$P$506,0))="Vacant",0,INDEX('Rent Log'!$E$7:$E$506,MATCH($C$5&amp;"|"&amp;13,'Rent Log'!$P$7:$P$506,0))+INDEX('Rent Log'!$F$7:$F$506,MATCH($C$5&amp;"|"&amp;13,'Rent Log'!$P$7:$P$506,0))))</f>
        <v/>
      </c>
      <c r="D25" s="56" t="str">
        <f>IF(A25="","",IF(INDEX('Rent Log'!$K$7:$K$506,MATCH($C$5&amp;"|"&amp;13,'Rent Log'!$P$7:$P$506,0))="Vacant",0,INDEX('Rent Log'!$G$7:$G$506,MATCH($C$5&amp;"|"&amp;13,'Rent Log'!$P$7:$P$506,0))))</f>
        <v/>
      </c>
      <c r="E25" s="50" t="str">
        <f>IF(A25="","",IF(INDEX('Rent Log'!$H$7:$H$506,MATCH($C$5&amp;"|"&amp;13,'Rent Log'!$P$7:$P$506,0))="","",INDEX('Rent Log'!$H$7:$H$506,MATCH($C$5&amp;"|"&amp;13,'Rent Log'!$P$7:$P$506,0))))</f>
        <v/>
      </c>
      <c r="F25" s="47" t="str">
        <f>IF(A25="","",INDEX('Rent Log'!$K$7:$K$506,MATCH($C$5&amp;"|"&amp;13,'Rent Log'!$P$7:$P$506,0)))</f>
        <v/>
      </c>
      <c r="G25" s="56" t="str">
        <f t="shared" si="0"/>
        <v/>
      </c>
      <c r="H25" s="47" t="str">
        <f>IF(A25="","",INDEX('Rent Log'!$M$7:$M$506,MATCH($C$5&amp;"|"&amp;13,'Rent Log'!$P$7:$P$506,0))&amp;"")</f>
        <v/>
      </c>
    </row>
    <row r="26" spans="1:8" ht="16" x14ac:dyDescent="0.2">
      <c r="A26" s="47" t="str">
        <f>IF(ISNUMBER(MATCH($C$5&amp;"|"&amp;14,'Rent Log'!$P$7:$P$506,0)),14,"")</f>
        <v/>
      </c>
      <c r="B26" s="50" t="str">
        <f>IF(A26="","",INDEX('Rent Log'!$A$7:$A$506,MATCH($C$5&amp;"|"&amp;14,'Rent Log'!$P$7:$P$506,0)))</f>
        <v/>
      </c>
      <c r="C26" s="56" t="str">
        <f>IF(A26="","",IF(INDEX('Rent Log'!$K$7:$K$506,MATCH($C$5&amp;"|"&amp;14,'Rent Log'!$P$7:$P$506,0))="Vacant",0,INDEX('Rent Log'!$E$7:$E$506,MATCH($C$5&amp;"|"&amp;14,'Rent Log'!$P$7:$P$506,0))+INDEX('Rent Log'!$F$7:$F$506,MATCH($C$5&amp;"|"&amp;14,'Rent Log'!$P$7:$P$506,0))))</f>
        <v/>
      </c>
      <c r="D26" s="56" t="str">
        <f>IF(A26="","",IF(INDEX('Rent Log'!$K$7:$K$506,MATCH($C$5&amp;"|"&amp;14,'Rent Log'!$P$7:$P$506,0))="Vacant",0,INDEX('Rent Log'!$G$7:$G$506,MATCH($C$5&amp;"|"&amp;14,'Rent Log'!$P$7:$P$506,0))))</f>
        <v/>
      </c>
      <c r="E26" s="50" t="str">
        <f>IF(A26="","",IF(INDEX('Rent Log'!$H$7:$H$506,MATCH($C$5&amp;"|"&amp;14,'Rent Log'!$P$7:$P$506,0))="","",INDEX('Rent Log'!$H$7:$H$506,MATCH($C$5&amp;"|"&amp;14,'Rent Log'!$P$7:$P$506,0))))</f>
        <v/>
      </c>
      <c r="F26" s="47" t="str">
        <f>IF(A26="","",INDEX('Rent Log'!$K$7:$K$506,MATCH($C$5&amp;"|"&amp;14,'Rent Log'!$P$7:$P$506,0)))</f>
        <v/>
      </c>
      <c r="G26" s="56" t="str">
        <f t="shared" si="0"/>
        <v/>
      </c>
      <c r="H26" s="47" t="str">
        <f>IF(A26="","",INDEX('Rent Log'!$M$7:$M$506,MATCH($C$5&amp;"|"&amp;14,'Rent Log'!$P$7:$P$506,0))&amp;"")</f>
        <v/>
      </c>
    </row>
    <row r="27" spans="1:8" ht="16" x14ac:dyDescent="0.2">
      <c r="A27" s="47" t="str">
        <f>IF(ISNUMBER(MATCH($C$5&amp;"|"&amp;15,'Rent Log'!$P$7:$P$506,0)),15,"")</f>
        <v/>
      </c>
      <c r="B27" s="50" t="str">
        <f>IF(A27="","",INDEX('Rent Log'!$A$7:$A$506,MATCH($C$5&amp;"|"&amp;15,'Rent Log'!$P$7:$P$506,0)))</f>
        <v/>
      </c>
      <c r="C27" s="56" t="str">
        <f>IF(A27="","",IF(INDEX('Rent Log'!$K$7:$K$506,MATCH($C$5&amp;"|"&amp;15,'Rent Log'!$P$7:$P$506,0))="Vacant",0,INDEX('Rent Log'!$E$7:$E$506,MATCH($C$5&amp;"|"&amp;15,'Rent Log'!$P$7:$P$506,0))+INDEX('Rent Log'!$F$7:$F$506,MATCH($C$5&amp;"|"&amp;15,'Rent Log'!$P$7:$P$506,0))))</f>
        <v/>
      </c>
      <c r="D27" s="56" t="str">
        <f>IF(A27="","",IF(INDEX('Rent Log'!$K$7:$K$506,MATCH($C$5&amp;"|"&amp;15,'Rent Log'!$P$7:$P$506,0))="Vacant",0,INDEX('Rent Log'!$G$7:$G$506,MATCH($C$5&amp;"|"&amp;15,'Rent Log'!$P$7:$P$506,0))))</f>
        <v/>
      </c>
      <c r="E27" s="50" t="str">
        <f>IF(A27="","",IF(INDEX('Rent Log'!$H$7:$H$506,MATCH($C$5&amp;"|"&amp;15,'Rent Log'!$P$7:$P$506,0))="","",INDEX('Rent Log'!$H$7:$H$506,MATCH($C$5&amp;"|"&amp;15,'Rent Log'!$P$7:$P$506,0))))</f>
        <v/>
      </c>
      <c r="F27" s="47" t="str">
        <f>IF(A27="","",INDEX('Rent Log'!$K$7:$K$506,MATCH($C$5&amp;"|"&amp;15,'Rent Log'!$P$7:$P$506,0)))</f>
        <v/>
      </c>
      <c r="G27" s="56" t="str">
        <f t="shared" si="0"/>
        <v/>
      </c>
      <c r="H27" s="47" t="str">
        <f>IF(A27="","",INDEX('Rent Log'!$M$7:$M$506,MATCH($C$5&amp;"|"&amp;15,'Rent Log'!$P$7:$P$506,0))&amp;"")</f>
        <v/>
      </c>
    </row>
    <row r="28" spans="1:8" ht="16" x14ac:dyDescent="0.2">
      <c r="A28" s="47" t="str">
        <f>IF(ISNUMBER(MATCH($C$5&amp;"|"&amp;16,'Rent Log'!$P$7:$P$506,0)),16,"")</f>
        <v/>
      </c>
      <c r="B28" s="50" t="str">
        <f>IF(A28="","",INDEX('Rent Log'!$A$7:$A$506,MATCH($C$5&amp;"|"&amp;16,'Rent Log'!$P$7:$P$506,0)))</f>
        <v/>
      </c>
      <c r="C28" s="56" t="str">
        <f>IF(A28="","",IF(INDEX('Rent Log'!$K$7:$K$506,MATCH($C$5&amp;"|"&amp;16,'Rent Log'!$P$7:$P$506,0))="Vacant",0,INDEX('Rent Log'!$E$7:$E$506,MATCH($C$5&amp;"|"&amp;16,'Rent Log'!$P$7:$P$506,0))+INDEX('Rent Log'!$F$7:$F$506,MATCH($C$5&amp;"|"&amp;16,'Rent Log'!$P$7:$P$506,0))))</f>
        <v/>
      </c>
      <c r="D28" s="56" t="str">
        <f>IF(A28="","",IF(INDEX('Rent Log'!$K$7:$K$506,MATCH($C$5&amp;"|"&amp;16,'Rent Log'!$P$7:$P$506,0))="Vacant",0,INDEX('Rent Log'!$G$7:$G$506,MATCH($C$5&amp;"|"&amp;16,'Rent Log'!$P$7:$P$506,0))))</f>
        <v/>
      </c>
      <c r="E28" s="50" t="str">
        <f>IF(A28="","",IF(INDEX('Rent Log'!$H$7:$H$506,MATCH($C$5&amp;"|"&amp;16,'Rent Log'!$P$7:$P$506,0))="","",INDEX('Rent Log'!$H$7:$H$506,MATCH($C$5&amp;"|"&amp;16,'Rent Log'!$P$7:$P$506,0))))</f>
        <v/>
      </c>
      <c r="F28" s="47" t="str">
        <f>IF(A28="","",INDEX('Rent Log'!$K$7:$K$506,MATCH($C$5&amp;"|"&amp;16,'Rent Log'!$P$7:$P$506,0)))</f>
        <v/>
      </c>
      <c r="G28" s="56" t="str">
        <f t="shared" si="0"/>
        <v/>
      </c>
      <c r="H28" s="47" t="str">
        <f>IF(A28="","",INDEX('Rent Log'!$M$7:$M$506,MATCH($C$5&amp;"|"&amp;16,'Rent Log'!$P$7:$P$506,0))&amp;"")</f>
        <v/>
      </c>
    </row>
    <row r="29" spans="1:8" ht="16" x14ac:dyDescent="0.2">
      <c r="A29" s="47" t="str">
        <f>IF(ISNUMBER(MATCH($C$5&amp;"|"&amp;17,'Rent Log'!$P$7:$P$506,0)),17,"")</f>
        <v/>
      </c>
      <c r="B29" s="50" t="str">
        <f>IF(A29="","",INDEX('Rent Log'!$A$7:$A$506,MATCH($C$5&amp;"|"&amp;17,'Rent Log'!$P$7:$P$506,0)))</f>
        <v/>
      </c>
      <c r="C29" s="56" t="str">
        <f>IF(A29="","",IF(INDEX('Rent Log'!$K$7:$K$506,MATCH($C$5&amp;"|"&amp;17,'Rent Log'!$P$7:$P$506,0))="Vacant",0,INDEX('Rent Log'!$E$7:$E$506,MATCH($C$5&amp;"|"&amp;17,'Rent Log'!$P$7:$P$506,0))+INDEX('Rent Log'!$F$7:$F$506,MATCH($C$5&amp;"|"&amp;17,'Rent Log'!$P$7:$P$506,0))))</f>
        <v/>
      </c>
      <c r="D29" s="56" t="str">
        <f>IF(A29="","",IF(INDEX('Rent Log'!$K$7:$K$506,MATCH($C$5&amp;"|"&amp;17,'Rent Log'!$P$7:$P$506,0))="Vacant",0,INDEX('Rent Log'!$G$7:$G$506,MATCH($C$5&amp;"|"&amp;17,'Rent Log'!$P$7:$P$506,0))))</f>
        <v/>
      </c>
      <c r="E29" s="50" t="str">
        <f>IF(A29="","",IF(INDEX('Rent Log'!$H$7:$H$506,MATCH($C$5&amp;"|"&amp;17,'Rent Log'!$P$7:$P$506,0))="","",INDEX('Rent Log'!$H$7:$H$506,MATCH($C$5&amp;"|"&amp;17,'Rent Log'!$P$7:$P$506,0))))</f>
        <v/>
      </c>
      <c r="F29" s="47" t="str">
        <f>IF(A29="","",INDEX('Rent Log'!$K$7:$K$506,MATCH($C$5&amp;"|"&amp;17,'Rent Log'!$P$7:$P$506,0)))</f>
        <v/>
      </c>
      <c r="G29" s="56" t="str">
        <f t="shared" si="0"/>
        <v/>
      </c>
      <c r="H29" s="47" t="str">
        <f>IF(A29="","",INDEX('Rent Log'!$M$7:$M$506,MATCH($C$5&amp;"|"&amp;17,'Rent Log'!$P$7:$P$506,0))&amp;"")</f>
        <v/>
      </c>
    </row>
    <row r="30" spans="1:8" ht="16" x14ac:dyDescent="0.2">
      <c r="A30" s="47" t="str">
        <f>IF(ISNUMBER(MATCH($C$5&amp;"|"&amp;18,'Rent Log'!$P$7:$P$506,0)),18,"")</f>
        <v/>
      </c>
      <c r="B30" s="50" t="str">
        <f>IF(A30="","",INDEX('Rent Log'!$A$7:$A$506,MATCH($C$5&amp;"|"&amp;18,'Rent Log'!$P$7:$P$506,0)))</f>
        <v/>
      </c>
      <c r="C30" s="56" t="str">
        <f>IF(A30="","",IF(INDEX('Rent Log'!$K$7:$K$506,MATCH($C$5&amp;"|"&amp;18,'Rent Log'!$P$7:$P$506,0))="Vacant",0,INDEX('Rent Log'!$E$7:$E$506,MATCH($C$5&amp;"|"&amp;18,'Rent Log'!$P$7:$P$506,0))+INDEX('Rent Log'!$F$7:$F$506,MATCH($C$5&amp;"|"&amp;18,'Rent Log'!$P$7:$P$506,0))))</f>
        <v/>
      </c>
      <c r="D30" s="56" t="str">
        <f>IF(A30="","",IF(INDEX('Rent Log'!$K$7:$K$506,MATCH($C$5&amp;"|"&amp;18,'Rent Log'!$P$7:$P$506,0))="Vacant",0,INDEX('Rent Log'!$G$7:$G$506,MATCH($C$5&amp;"|"&amp;18,'Rent Log'!$P$7:$P$506,0))))</f>
        <v/>
      </c>
      <c r="E30" s="50" t="str">
        <f>IF(A30="","",IF(INDEX('Rent Log'!$H$7:$H$506,MATCH($C$5&amp;"|"&amp;18,'Rent Log'!$P$7:$P$506,0))="","",INDEX('Rent Log'!$H$7:$H$506,MATCH($C$5&amp;"|"&amp;18,'Rent Log'!$P$7:$P$506,0))))</f>
        <v/>
      </c>
      <c r="F30" s="47" t="str">
        <f>IF(A30="","",INDEX('Rent Log'!$K$7:$K$506,MATCH($C$5&amp;"|"&amp;18,'Rent Log'!$P$7:$P$506,0)))</f>
        <v/>
      </c>
      <c r="G30" s="56" t="str">
        <f t="shared" si="0"/>
        <v/>
      </c>
      <c r="H30" s="47" t="str">
        <f>IF(A30="","",INDEX('Rent Log'!$M$7:$M$506,MATCH($C$5&amp;"|"&amp;18,'Rent Log'!$P$7:$P$506,0))&amp;"")</f>
        <v/>
      </c>
    </row>
    <row r="31" spans="1:8" ht="16" x14ac:dyDescent="0.2">
      <c r="A31" s="47" t="str">
        <f>IF(ISNUMBER(MATCH($C$5&amp;"|"&amp;19,'Rent Log'!$P$7:$P$506,0)),19,"")</f>
        <v/>
      </c>
      <c r="B31" s="50" t="str">
        <f>IF(A31="","",INDEX('Rent Log'!$A$7:$A$506,MATCH($C$5&amp;"|"&amp;19,'Rent Log'!$P$7:$P$506,0)))</f>
        <v/>
      </c>
      <c r="C31" s="56" t="str">
        <f>IF(A31="","",IF(INDEX('Rent Log'!$K$7:$K$506,MATCH($C$5&amp;"|"&amp;19,'Rent Log'!$P$7:$P$506,0))="Vacant",0,INDEX('Rent Log'!$E$7:$E$506,MATCH($C$5&amp;"|"&amp;19,'Rent Log'!$P$7:$P$506,0))+INDEX('Rent Log'!$F$7:$F$506,MATCH($C$5&amp;"|"&amp;19,'Rent Log'!$P$7:$P$506,0))))</f>
        <v/>
      </c>
      <c r="D31" s="56" t="str">
        <f>IF(A31="","",IF(INDEX('Rent Log'!$K$7:$K$506,MATCH($C$5&amp;"|"&amp;19,'Rent Log'!$P$7:$P$506,0))="Vacant",0,INDEX('Rent Log'!$G$7:$G$506,MATCH($C$5&amp;"|"&amp;19,'Rent Log'!$P$7:$P$506,0))))</f>
        <v/>
      </c>
      <c r="E31" s="50" t="str">
        <f>IF(A31="","",IF(INDEX('Rent Log'!$H$7:$H$506,MATCH($C$5&amp;"|"&amp;19,'Rent Log'!$P$7:$P$506,0))="","",INDEX('Rent Log'!$H$7:$H$506,MATCH($C$5&amp;"|"&amp;19,'Rent Log'!$P$7:$P$506,0))))</f>
        <v/>
      </c>
      <c r="F31" s="47" t="str">
        <f>IF(A31="","",INDEX('Rent Log'!$K$7:$K$506,MATCH($C$5&amp;"|"&amp;19,'Rent Log'!$P$7:$P$506,0)))</f>
        <v/>
      </c>
      <c r="G31" s="56" t="str">
        <f t="shared" si="0"/>
        <v/>
      </c>
      <c r="H31" s="47" t="str">
        <f>IF(A31="","",INDEX('Rent Log'!$M$7:$M$506,MATCH($C$5&amp;"|"&amp;19,'Rent Log'!$P$7:$P$506,0))&amp;"")</f>
        <v/>
      </c>
    </row>
    <row r="32" spans="1:8" ht="16" x14ac:dyDescent="0.2">
      <c r="A32" s="47" t="str">
        <f>IF(ISNUMBER(MATCH($C$5&amp;"|"&amp;20,'Rent Log'!$P$7:$P$506,0)),20,"")</f>
        <v/>
      </c>
      <c r="B32" s="50" t="str">
        <f>IF(A32="","",INDEX('Rent Log'!$A$7:$A$506,MATCH($C$5&amp;"|"&amp;20,'Rent Log'!$P$7:$P$506,0)))</f>
        <v/>
      </c>
      <c r="C32" s="56" t="str">
        <f>IF(A32="","",IF(INDEX('Rent Log'!$K$7:$K$506,MATCH($C$5&amp;"|"&amp;20,'Rent Log'!$P$7:$P$506,0))="Vacant",0,INDEX('Rent Log'!$E$7:$E$506,MATCH($C$5&amp;"|"&amp;20,'Rent Log'!$P$7:$P$506,0))+INDEX('Rent Log'!$F$7:$F$506,MATCH($C$5&amp;"|"&amp;20,'Rent Log'!$P$7:$P$506,0))))</f>
        <v/>
      </c>
      <c r="D32" s="56" t="str">
        <f>IF(A32="","",IF(INDEX('Rent Log'!$K$7:$K$506,MATCH($C$5&amp;"|"&amp;20,'Rent Log'!$P$7:$P$506,0))="Vacant",0,INDEX('Rent Log'!$G$7:$G$506,MATCH($C$5&amp;"|"&amp;20,'Rent Log'!$P$7:$P$506,0))))</f>
        <v/>
      </c>
      <c r="E32" s="50" t="str">
        <f>IF(A32="","",IF(INDEX('Rent Log'!$H$7:$H$506,MATCH($C$5&amp;"|"&amp;20,'Rent Log'!$P$7:$P$506,0))="","",INDEX('Rent Log'!$H$7:$H$506,MATCH($C$5&amp;"|"&amp;20,'Rent Log'!$P$7:$P$506,0))))</f>
        <v/>
      </c>
      <c r="F32" s="47" t="str">
        <f>IF(A32="","",INDEX('Rent Log'!$K$7:$K$506,MATCH($C$5&amp;"|"&amp;20,'Rent Log'!$P$7:$P$506,0)))</f>
        <v/>
      </c>
      <c r="G32" s="56" t="str">
        <f t="shared" si="0"/>
        <v/>
      </c>
      <c r="H32" s="47" t="str">
        <f>IF(A32="","",INDEX('Rent Log'!$M$7:$M$506,MATCH($C$5&amp;"|"&amp;20,'Rent Log'!$P$7:$P$506,0))&amp;"")</f>
        <v/>
      </c>
    </row>
    <row r="33" spans="1:8" ht="16" x14ac:dyDescent="0.2">
      <c r="A33" s="47" t="str">
        <f>IF(ISNUMBER(MATCH($C$5&amp;"|"&amp;21,'Rent Log'!$P$7:$P$506,0)),21,"")</f>
        <v/>
      </c>
      <c r="B33" s="50" t="str">
        <f>IF(A33="","",INDEX('Rent Log'!$A$7:$A$506,MATCH($C$5&amp;"|"&amp;21,'Rent Log'!$P$7:$P$506,0)))</f>
        <v/>
      </c>
      <c r="C33" s="56" t="str">
        <f>IF(A33="","",IF(INDEX('Rent Log'!$K$7:$K$506,MATCH($C$5&amp;"|"&amp;21,'Rent Log'!$P$7:$P$506,0))="Vacant",0,INDEX('Rent Log'!$E$7:$E$506,MATCH($C$5&amp;"|"&amp;21,'Rent Log'!$P$7:$P$506,0))+INDEX('Rent Log'!$F$7:$F$506,MATCH($C$5&amp;"|"&amp;21,'Rent Log'!$P$7:$P$506,0))))</f>
        <v/>
      </c>
      <c r="D33" s="56" t="str">
        <f>IF(A33="","",IF(INDEX('Rent Log'!$K$7:$K$506,MATCH($C$5&amp;"|"&amp;21,'Rent Log'!$P$7:$P$506,0))="Vacant",0,INDEX('Rent Log'!$G$7:$G$506,MATCH($C$5&amp;"|"&amp;21,'Rent Log'!$P$7:$P$506,0))))</f>
        <v/>
      </c>
      <c r="E33" s="50" t="str">
        <f>IF(A33="","",IF(INDEX('Rent Log'!$H$7:$H$506,MATCH($C$5&amp;"|"&amp;21,'Rent Log'!$P$7:$P$506,0))="","",INDEX('Rent Log'!$H$7:$H$506,MATCH($C$5&amp;"|"&amp;21,'Rent Log'!$P$7:$P$506,0))))</f>
        <v/>
      </c>
      <c r="F33" s="47" t="str">
        <f>IF(A33="","",INDEX('Rent Log'!$K$7:$K$506,MATCH($C$5&amp;"|"&amp;21,'Rent Log'!$P$7:$P$506,0)))</f>
        <v/>
      </c>
      <c r="G33" s="56" t="str">
        <f t="shared" si="0"/>
        <v/>
      </c>
      <c r="H33" s="47" t="str">
        <f>IF(A33="","",INDEX('Rent Log'!$M$7:$M$506,MATCH($C$5&amp;"|"&amp;21,'Rent Log'!$P$7:$P$506,0))&amp;"")</f>
        <v/>
      </c>
    </row>
    <row r="34" spans="1:8" ht="16" x14ac:dyDescent="0.2">
      <c r="A34" s="47" t="str">
        <f>IF(ISNUMBER(MATCH($C$5&amp;"|"&amp;22,'Rent Log'!$P$7:$P$506,0)),22,"")</f>
        <v/>
      </c>
      <c r="B34" s="50" t="str">
        <f>IF(A34="","",INDEX('Rent Log'!$A$7:$A$506,MATCH($C$5&amp;"|"&amp;22,'Rent Log'!$P$7:$P$506,0)))</f>
        <v/>
      </c>
      <c r="C34" s="56" t="str">
        <f>IF(A34="","",IF(INDEX('Rent Log'!$K$7:$K$506,MATCH($C$5&amp;"|"&amp;22,'Rent Log'!$P$7:$P$506,0))="Vacant",0,INDEX('Rent Log'!$E$7:$E$506,MATCH($C$5&amp;"|"&amp;22,'Rent Log'!$P$7:$P$506,0))+INDEX('Rent Log'!$F$7:$F$506,MATCH($C$5&amp;"|"&amp;22,'Rent Log'!$P$7:$P$506,0))))</f>
        <v/>
      </c>
      <c r="D34" s="56" t="str">
        <f>IF(A34="","",IF(INDEX('Rent Log'!$K$7:$K$506,MATCH($C$5&amp;"|"&amp;22,'Rent Log'!$P$7:$P$506,0))="Vacant",0,INDEX('Rent Log'!$G$7:$G$506,MATCH($C$5&amp;"|"&amp;22,'Rent Log'!$P$7:$P$506,0))))</f>
        <v/>
      </c>
      <c r="E34" s="50" t="str">
        <f>IF(A34="","",IF(INDEX('Rent Log'!$H$7:$H$506,MATCH($C$5&amp;"|"&amp;22,'Rent Log'!$P$7:$P$506,0))="","",INDEX('Rent Log'!$H$7:$H$506,MATCH($C$5&amp;"|"&amp;22,'Rent Log'!$P$7:$P$506,0))))</f>
        <v/>
      </c>
      <c r="F34" s="47" t="str">
        <f>IF(A34="","",INDEX('Rent Log'!$K$7:$K$506,MATCH($C$5&amp;"|"&amp;22,'Rent Log'!$P$7:$P$506,0)))</f>
        <v/>
      </c>
      <c r="G34" s="56" t="str">
        <f t="shared" si="0"/>
        <v/>
      </c>
      <c r="H34" s="47" t="str">
        <f>IF(A34="","",INDEX('Rent Log'!$M$7:$M$506,MATCH($C$5&amp;"|"&amp;22,'Rent Log'!$P$7:$P$506,0))&amp;"")</f>
        <v/>
      </c>
    </row>
    <row r="35" spans="1:8" ht="16" x14ac:dyDescent="0.2">
      <c r="A35" s="47" t="str">
        <f>IF(ISNUMBER(MATCH($C$5&amp;"|"&amp;23,'Rent Log'!$P$7:$P$506,0)),23,"")</f>
        <v/>
      </c>
      <c r="B35" s="50" t="str">
        <f>IF(A35="","",INDEX('Rent Log'!$A$7:$A$506,MATCH($C$5&amp;"|"&amp;23,'Rent Log'!$P$7:$P$506,0)))</f>
        <v/>
      </c>
      <c r="C35" s="56" t="str">
        <f>IF(A35="","",IF(INDEX('Rent Log'!$K$7:$K$506,MATCH($C$5&amp;"|"&amp;23,'Rent Log'!$P$7:$P$506,0))="Vacant",0,INDEX('Rent Log'!$E$7:$E$506,MATCH($C$5&amp;"|"&amp;23,'Rent Log'!$P$7:$P$506,0))+INDEX('Rent Log'!$F$7:$F$506,MATCH($C$5&amp;"|"&amp;23,'Rent Log'!$P$7:$P$506,0))))</f>
        <v/>
      </c>
      <c r="D35" s="56" t="str">
        <f>IF(A35="","",IF(INDEX('Rent Log'!$K$7:$K$506,MATCH($C$5&amp;"|"&amp;23,'Rent Log'!$P$7:$P$506,0))="Vacant",0,INDEX('Rent Log'!$G$7:$G$506,MATCH($C$5&amp;"|"&amp;23,'Rent Log'!$P$7:$P$506,0))))</f>
        <v/>
      </c>
      <c r="E35" s="50" t="str">
        <f>IF(A35="","",IF(INDEX('Rent Log'!$H$7:$H$506,MATCH($C$5&amp;"|"&amp;23,'Rent Log'!$P$7:$P$506,0))="","",INDEX('Rent Log'!$H$7:$H$506,MATCH($C$5&amp;"|"&amp;23,'Rent Log'!$P$7:$P$506,0))))</f>
        <v/>
      </c>
      <c r="F35" s="47" t="str">
        <f>IF(A35="","",INDEX('Rent Log'!$K$7:$K$506,MATCH($C$5&amp;"|"&amp;23,'Rent Log'!$P$7:$P$506,0)))</f>
        <v/>
      </c>
      <c r="G35" s="56" t="str">
        <f t="shared" si="0"/>
        <v/>
      </c>
      <c r="H35" s="47" t="str">
        <f>IF(A35="","",INDEX('Rent Log'!$M$7:$M$506,MATCH($C$5&amp;"|"&amp;23,'Rent Log'!$P$7:$P$506,0))&amp;"")</f>
        <v/>
      </c>
    </row>
    <row r="36" spans="1:8" ht="16" x14ac:dyDescent="0.2">
      <c r="A36" s="47" t="str">
        <f>IF(ISNUMBER(MATCH($C$5&amp;"|"&amp;24,'Rent Log'!$P$7:$P$506,0)),24,"")</f>
        <v/>
      </c>
      <c r="B36" s="50" t="str">
        <f>IF(A36="","",INDEX('Rent Log'!$A$7:$A$506,MATCH($C$5&amp;"|"&amp;24,'Rent Log'!$P$7:$P$506,0)))</f>
        <v/>
      </c>
      <c r="C36" s="56" t="str">
        <f>IF(A36="","",IF(INDEX('Rent Log'!$K$7:$K$506,MATCH($C$5&amp;"|"&amp;24,'Rent Log'!$P$7:$P$506,0))="Vacant",0,INDEX('Rent Log'!$E$7:$E$506,MATCH($C$5&amp;"|"&amp;24,'Rent Log'!$P$7:$P$506,0))+INDEX('Rent Log'!$F$7:$F$506,MATCH($C$5&amp;"|"&amp;24,'Rent Log'!$P$7:$P$506,0))))</f>
        <v/>
      </c>
      <c r="D36" s="56" t="str">
        <f>IF(A36="","",IF(INDEX('Rent Log'!$K$7:$K$506,MATCH($C$5&amp;"|"&amp;24,'Rent Log'!$P$7:$P$506,0))="Vacant",0,INDEX('Rent Log'!$G$7:$G$506,MATCH($C$5&amp;"|"&amp;24,'Rent Log'!$P$7:$P$506,0))))</f>
        <v/>
      </c>
      <c r="E36" s="50" t="str">
        <f>IF(A36="","",IF(INDEX('Rent Log'!$H$7:$H$506,MATCH($C$5&amp;"|"&amp;24,'Rent Log'!$P$7:$P$506,0))="","",INDEX('Rent Log'!$H$7:$H$506,MATCH($C$5&amp;"|"&amp;24,'Rent Log'!$P$7:$P$506,0))))</f>
        <v/>
      </c>
      <c r="F36" s="47" t="str">
        <f>IF(A36="","",INDEX('Rent Log'!$K$7:$K$506,MATCH($C$5&amp;"|"&amp;24,'Rent Log'!$P$7:$P$506,0)))</f>
        <v/>
      </c>
      <c r="G36" s="56" t="str">
        <f t="shared" si="0"/>
        <v/>
      </c>
      <c r="H36" s="47" t="str">
        <f>IF(A36="","",INDEX('Rent Log'!$M$7:$M$506,MATCH($C$5&amp;"|"&amp;24,'Rent Log'!$P$7:$P$506,0))&amp;"")</f>
        <v/>
      </c>
    </row>
    <row r="37" spans="1:8" ht="16" x14ac:dyDescent="0.2">
      <c r="A37" s="47" t="str">
        <f>IF(ISNUMBER(MATCH($C$5&amp;"|"&amp;25,'Rent Log'!$P$7:$P$506,0)),25,"")</f>
        <v/>
      </c>
      <c r="B37" s="50" t="str">
        <f>IF(A37="","",INDEX('Rent Log'!$A$7:$A$506,MATCH($C$5&amp;"|"&amp;25,'Rent Log'!$P$7:$P$506,0)))</f>
        <v/>
      </c>
      <c r="C37" s="56" t="str">
        <f>IF(A37="","",IF(INDEX('Rent Log'!$K$7:$K$506,MATCH($C$5&amp;"|"&amp;25,'Rent Log'!$P$7:$P$506,0))="Vacant",0,INDEX('Rent Log'!$E$7:$E$506,MATCH($C$5&amp;"|"&amp;25,'Rent Log'!$P$7:$P$506,0))+INDEX('Rent Log'!$F$7:$F$506,MATCH($C$5&amp;"|"&amp;25,'Rent Log'!$P$7:$P$506,0))))</f>
        <v/>
      </c>
      <c r="D37" s="56" t="str">
        <f>IF(A37="","",IF(INDEX('Rent Log'!$K$7:$K$506,MATCH($C$5&amp;"|"&amp;25,'Rent Log'!$P$7:$P$506,0))="Vacant",0,INDEX('Rent Log'!$G$7:$G$506,MATCH($C$5&amp;"|"&amp;25,'Rent Log'!$P$7:$P$506,0))))</f>
        <v/>
      </c>
      <c r="E37" s="50" t="str">
        <f>IF(A37="","",IF(INDEX('Rent Log'!$H$7:$H$506,MATCH($C$5&amp;"|"&amp;25,'Rent Log'!$P$7:$P$506,0))="","",INDEX('Rent Log'!$H$7:$H$506,MATCH($C$5&amp;"|"&amp;25,'Rent Log'!$P$7:$P$506,0))))</f>
        <v/>
      </c>
      <c r="F37" s="47" t="str">
        <f>IF(A37="","",INDEX('Rent Log'!$K$7:$K$506,MATCH($C$5&amp;"|"&amp;25,'Rent Log'!$P$7:$P$506,0)))</f>
        <v/>
      </c>
      <c r="G37" s="56" t="str">
        <f t="shared" si="0"/>
        <v/>
      </c>
      <c r="H37" s="47" t="str">
        <f>IF(A37="","",INDEX('Rent Log'!$M$7:$M$506,MATCH($C$5&amp;"|"&amp;25,'Rent Log'!$P$7:$P$506,0))&amp;"")</f>
        <v/>
      </c>
    </row>
    <row r="38" spans="1:8" ht="16" x14ac:dyDescent="0.2">
      <c r="A38" s="47" t="str">
        <f>IF(ISNUMBER(MATCH($C$5&amp;"|"&amp;26,'Rent Log'!$P$7:$P$506,0)),26,"")</f>
        <v/>
      </c>
      <c r="B38" s="50" t="str">
        <f>IF(A38="","",INDEX('Rent Log'!$A$7:$A$506,MATCH($C$5&amp;"|"&amp;26,'Rent Log'!$P$7:$P$506,0)))</f>
        <v/>
      </c>
      <c r="C38" s="56" t="str">
        <f>IF(A38="","",IF(INDEX('Rent Log'!$K$7:$K$506,MATCH($C$5&amp;"|"&amp;26,'Rent Log'!$P$7:$P$506,0))="Vacant",0,INDEX('Rent Log'!$E$7:$E$506,MATCH($C$5&amp;"|"&amp;26,'Rent Log'!$P$7:$P$506,0))+INDEX('Rent Log'!$F$7:$F$506,MATCH($C$5&amp;"|"&amp;26,'Rent Log'!$P$7:$P$506,0))))</f>
        <v/>
      </c>
      <c r="D38" s="56" t="str">
        <f>IF(A38="","",IF(INDEX('Rent Log'!$K$7:$K$506,MATCH($C$5&amp;"|"&amp;26,'Rent Log'!$P$7:$P$506,0))="Vacant",0,INDEX('Rent Log'!$G$7:$G$506,MATCH($C$5&amp;"|"&amp;26,'Rent Log'!$P$7:$P$506,0))))</f>
        <v/>
      </c>
      <c r="E38" s="50" t="str">
        <f>IF(A38="","",IF(INDEX('Rent Log'!$H$7:$H$506,MATCH($C$5&amp;"|"&amp;26,'Rent Log'!$P$7:$P$506,0))="","",INDEX('Rent Log'!$H$7:$H$506,MATCH($C$5&amp;"|"&amp;26,'Rent Log'!$P$7:$P$506,0))))</f>
        <v/>
      </c>
      <c r="F38" s="47" t="str">
        <f>IF(A38="","",INDEX('Rent Log'!$K$7:$K$506,MATCH($C$5&amp;"|"&amp;26,'Rent Log'!$P$7:$P$506,0)))</f>
        <v/>
      </c>
      <c r="G38" s="56" t="str">
        <f t="shared" si="0"/>
        <v/>
      </c>
      <c r="H38" s="47" t="str">
        <f>IF(A38="","",INDEX('Rent Log'!$M$7:$M$506,MATCH($C$5&amp;"|"&amp;26,'Rent Log'!$P$7:$P$506,0))&amp;"")</f>
        <v/>
      </c>
    </row>
    <row r="39" spans="1:8" ht="16" x14ac:dyDescent="0.2">
      <c r="A39" s="47" t="str">
        <f>IF(ISNUMBER(MATCH($C$5&amp;"|"&amp;27,'Rent Log'!$P$7:$P$506,0)),27,"")</f>
        <v/>
      </c>
      <c r="B39" s="50" t="str">
        <f>IF(A39="","",INDEX('Rent Log'!$A$7:$A$506,MATCH($C$5&amp;"|"&amp;27,'Rent Log'!$P$7:$P$506,0)))</f>
        <v/>
      </c>
      <c r="C39" s="56" t="str">
        <f>IF(A39="","",IF(INDEX('Rent Log'!$K$7:$K$506,MATCH($C$5&amp;"|"&amp;27,'Rent Log'!$P$7:$P$506,0))="Vacant",0,INDEX('Rent Log'!$E$7:$E$506,MATCH($C$5&amp;"|"&amp;27,'Rent Log'!$P$7:$P$506,0))+INDEX('Rent Log'!$F$7:$F$506,MATCH($C$5&amp;"|"&amp;27,'Rent Log'!$P$7:$P$506,0))))</f>
        <v/>
      </c>
      <c r="D39" s="56" t="str">
        <f>IF(A39="","",IF(INDEX('Rent Log'!$K$7:$K$506,MATCH($C$5&amp;"|"&amp;27,'Rent Log'!$P$7:$P$506,0))="Vacant",0,INDEX('Rent Log'!$G$7:$G$506,MATCH($C$5&amp;"|"&amp;27,'Rent Log'!$P$7:$P$506,0))))</f>
        <v/>
      </c>
      <c r="E39" s="50" t="str">
        <f>IF(A39="","",IF(INDEX('Rent Log'!$H$7:$H$506,MATCH($C$5&amp;"|"&amp;27,'Rent Log'!$P$7:$P$506,0))="","",INDEX('Rent Log'!$H$7:$H$506,MATCH($C$5&amp;"|"&amp;27,'Rent Log'!$P$7:$P$506,0))))</f>
        <v/>
      </c>
      <c r="F39" s="47" t="str">
        <f>IF(A39="","",INDEX('Rent Log'!$K$7:$K$506,MATCH($C$5&amp;"|"&amp;27,'Rent Log'!$P$7:$P$506,0)))</f>
        <v/>
      </c>
      <c r="G39" s="56" t="str">
        <f t="shared" si="0"/>
        <v/>
      </c>
      <c r="H39" s="47" t="str">
        <f>IF(A39="","",INDEX('Rent Log'!$M$7:$M$506,MATCH($C$5&amp;"|"&amp;27,'Rent Log'!$P$7:$P$506,0))&amp;"")</f>
        <v/>
      </c>
    </row>
    <row r="40" spans="1:8" ht="16" x14ac:dyDescent="0.2">
      <c r="A40" s="47" t="str">
        <f>IF(ISNUMBER(MATCH($C$5&amp;"|"&amp;28,'Rent Log'!$P$7:$P$506,0)),28,"")</f>
        <v/>
      </c>
      <c r="B40" s="50" t="str">
        <f>IF(A40="","",INDEX('Rent Log'!$A$7:$A$506,MATCH($C$5&amp;"|"&amp;28,'Rent Log'!$P$7:$P$506,0)))</f>
        <v/>
      </c>
      <c r="C40" s="56" t="str">
        <f>IF(A40="","",IF(INDEX('Rent Log'!$K$7:$K$506,MATCH($C$5&amp;"|"&amp;28,'Rent Log'!$P$7:$P$506,0))="Vacant",0,INDEX('Rent Log'!$E$7:$E$506,MATCH($C$5&amp;"|"&amp;28,'Rent Log'!$P$7:$P$506,0))+INDEX('Rent Log'!$F$7:$F$506,MATCH($C$5&amp;"|"&amp;28,'Rent Log'!$P$7:$P$506,0))))</f>
        <v/>
      </c>
      <c r="D40" s="56" t="str">
        <f>IF(A40="","",IF(INDEX('Rent Log'!$K$7:$K$506,MATCH($C$5&amp;"|"&amp;28,'Rent Log'!$P$7:$P$506,0))="Vacant",0,INDEX('Rent Log'!$G$7:$G$506,MATCH($C$5&amp;"|"&amp;28,'Rent Log'!$P$7:$P$506,0))))</f>
        <v/>
      </c>
      <c r="E40" s="50" t="str">
        <f>IF(A40="","",IF(INDEX('Rent Log'!$H$7:$H$506,MATCH($C$5&amp;"|"&amp;28,'Rent Log'!$P$7:$P$506,0))="","",INDEX('Rent Log'!$H$7:$H$506,MATCH($C$5&amp;"|"&amp;28,'Rent Log'!$P$7:$P$506,0))))</f>
        <v/>
      </c>
      <c r="F40" s="47" t="str">
        <f>IF(A40="","",INDEX('Rent Log'!$K$7:$K$506,MATCH($C$5&amp;"|"&amp;28,'Rent Log'!$P$7:$P$506,0)))</f>
        <v/>
      </c>
      <c r="G40" s="56" t="str">
        <f t="shared" si="0"/>
        <v/>
      </c>
      <c r="H40" s="47" t="str">
        <f>IF(A40="","",INDEX('Rent Log'!$M$7:$M$506,MATCH($C$5&amp;"|"&amp;28,'Rent Log'!$P$7:$P$506,0))&amp;"")</f>
        <v/>
      </c>
    </row>
    <row r="41" spans="1:8" ht="16" x14ac:dyDescent="0.2">
      <c r="A41" s="47" t="str">
        <f>IF(ISNUMBER(MATCH($C$5&amp;"|"&amp;29,'Rent Log'!$P$7:$P$506,0)),29,"")</f>
        <v/>
      </c>
      <c r="B41" s="50" t="str">
        <f>IF(A41="","",INDEX('Rent Log'!$A$7:$A$506,MATCH($C$5&amp;"|"&amp;29,'Rent Log'!$P$7:$P$506,0)))</f>
        <v/>
      </c>
      <c r="C41" s="56" t="str">
        <f>IF(A41="","",IF(INDEX('Rent Log'!$K$7:$K$506,MATCH($C$5&amp;"|"&amp;29,'Rent Log'!$P$7:$P$506,0))="Vacant",0,INDEX('Rent Log'!$E$7:$E$506,MATCH($C$5&amp;"|"&amp;29,'Rent Log'!$P$7:$P$506,0))+INDEX('Rent Log'!$F$7:$F$506,MATCH($C$5&amp;"|"&amp;29,'Rent Log'!$P$7:$P$506,0))))</f>
        <v/>
      </c>
      <c r="D41" s="56" t="str">
        <f>IF(A41="","",IF(INDEX('Rent Log'!$K$7:$K$506,MATCH($C$5&amp;"|"&amp;29,'Rent Log'!$P$7:$P$506,0))="Vacant",0,INDEX('Rent Log'!$G$7:$G$506,MATCH($C$5&amp;"|"&amp;29,'Rent Log'!$P$7:$P$506,0))))</f>
        <v/>
      </c>
      <c r="E41" s="50" t="str">
        <f>IF(A41="","",IF(INDEX('Rent Log'!$H$7:$H$506,MATCH($C$5&amp;"|"&amp;29,'Rent Log'!$P$7:$P$506,0))="","",INDEX('Rent Log'!$H$7:$H$506,MATCH($C$5&amp;"|"&amp;29,'Rent Log'!$P$7:$P$506,0))))</f>
        <v/>
      </c>
      <c r="F41" s="47" t="str">
        <f>IF(A41="","",INDEX('Rent Log'!$K$7:$K$506,MATCH($C$5&amp;"|"&amp;29,'Rent Log'!$P$7:$P$506,0)))</f>
        <v/>
      </c>
      <c r="G41" s="56" t="str">
        <f t="shared" si="0"/>
        <v/>
      </c>
      <c r="H41" s="47" t="str">
        <f>IF(A41="","",INDEX('Rent Log'!$M$7:$M$506,MATCH($C$5&amp;"|"&amp;29,'Rent Log'!$P$7:$P$506,0))&amp;"")</f>
        <v/>
      </c>
    </row>
    <row r="42" spans="1:8" ht="16" x14ac:dyDescent="0.2">
      <c r="A42" s="47" t="str">
        <f>IF(ISNUMBER(MATCH($C$5&amp;"|"&amp;30,'Rent Log'!$P$7:$P$506,0)),30,"")</f>
        <v/>
      </c>
      <c r="B42" s="50" t="str">
        <f>IF(A42="","",INDEX('Rent Log'!$A$7:$A$506,MATCH($C$5&amp;"|"&amp;30,'Rent Log'!$P$7:$P$506,0)))</f>
        <v/>
      </c>
      <c r="C42" s="56" t="str">
        <f>IF(A42="","",IF(INDEX('Rent Log'!$K$7:$K$506,MATCH($C$5&amp;"|"&amp;30,'Rent Log'!$P$7:$P$506,0))="Vacant",0,INDEX('Rent Log'!$E$7:$E$506,MATCH($C$5&amp;"|"&amp;30,'Rent Log'!$P$7:$P$506,0))+INDEX('Rent Log'!$F$7:$F$506,MATCH($C$5&amp;"|"&amp;30,'Rent Log'!$P$7:$P$506,0))))</f>
        <v/>
      </c>
      <c r="D42" s="56" t="str">
        <f>IF(A42="","",IF(INDEX('Rent Log'!$K$7:$K$506,MATCH($C$5&amp;"|"&amp;30,'Rent Log'!$P$7:$P$506,0))="Vacant",0,INDEX('Rent Log'!$G$7:$G$506,MATCH($C$5&amp;"|"&amp;30,'Rent Log'!$P$7:$P$506,0))))</f>
        <v/>
      </c>
      <c r="E42" s="50" t="str">
        <f>IF(A42="","",IF(INDEX('Rent Log'!$H$7:$H$506,MATCH($C$5&amp;"|"&amp;30,'Rent Log'!$P$7:$P$506,0))="","",INDEX('Rent Log'!$H$7:$H$506,MATCH($C$5&amp;"|"&amp;30,'Rent Log'!$P$7:$P$506,0))))</f>
        <v/>
      </c>
      <c r="F42" s="47" t="str">
        <f>IF(A42="","",INDEX('Rent Log'!$K$7:$K$506,MATCH($C$5&amp;"|"&amp;30,'Rent Log'!$P$7:$P$506,0)))</f>
        <v/>
      </c>
      <c r="G42" s="56" t="str">
        <f t="shared" si="0"/>
        <v/>
      </c>
      <c r="H42" s="47" t="str">
        <f>IF(A42="","",INDEX('Rent Log'!$M$7:$M$506,MATCH($C$5&amp;"|"&amp;30,'Rent Log'!$P$7:$P$506,0))&amp;"")</f>
        <v/>
      </c>
    </row>
    <row r="43" spans="1:8" ht="16" x14ac:dyDescent="0.2">
      <c r="A43" s="47" t="str">
        <f>IF(ISNUMBER(MATCH($C$5&amp;"|"&amp;31,'Rent Log'!$P$7:$P$506,0)),31,"")</f>
        <v/>
      </c>
      <c r="B43" s="50" t="str">
        <f>IF(A43="","",INDEX('Rent Log'!$A$7:$A$506,MATCH($C$5&amp;"|"&amp;31,'Rent Log'!$P$7:$P$506,0)))</f>
        <v/>
      </c>
      <c r="C43" s="56" t="str">
        <f>IF(A43="","",IF(INDEX('Rent Log'!$K$7:$K$506,MATCH($C$5&amp;"|"&amp;31,'Rent Log'!$P$7:$P$506,0))="Vacant",0,INDEX('Rent Log'!$E$7:$E$506,MATCH($C$5&amp;"|"&amp;31,'Rent Log'!$P$7:$P$506,0))+INDEX('Rent Log'!$F$7:$F$506,MATCH($C$5&amp;"|"&amp;31,'Rent Log'!$P$7:$P$506,0))))</f>
        <v/>
      </c>
      <c r="D43" s="56" t="str">
        <f>IF(A43="","",IF(INDEX('Rent Log'!$K$7:$K$506,MATCH($C$5&amp;"|"&amp;31,'Rent Log'!$P$7:$P$506,0))="Vacant",0,INDEX('Rent Log'!$G$7:$G$506,MATCH($C$5&amp;"|"&amp;31,'Rent Log'!$P$7:$P$506,0))))</f>
        <v/>
      </c>
      <c r="E43" s="50" t="str">
        <f>IF(A43="","",IF(INDEX('Rent Log'!$H$7:$H$506,MATCH($C$5&amp;"|"&amp;31,'Rent Log'!$P$7:$P$506,0))="","",INDEX('Rent Log'!$H$7:$H$506,MATCH($C$5&amp;"|"&amp;31,'Rent Log'!$P$7:$P$506,0))))</f>
        <v/>
      </c>
      <c r="F43" s="47" t="str">
        <f>IF(A43="","",INDEX('Rent Log'!$K$7:$K$506,MATCH($C$5&amp;"|"&amp;31,'Rent Log'!$P$7:$P$506,0)))</f>
        <v/>
      </c>
      <c r="G43" s="56" t="str">
        <f t="shared" si="0"/>
        <v/>
      </c>
      <c r="H43" s="47" t="str">
        <f>IF(A43="","",INDEX('Rent Log'!$M$7:$M$506,MATCH($C$5&amp;"|"&amp;31,'Rent Log'!$P$7:$P$506,0))&amp;"")</f>
        <v/>
      </c>
    </row>
    <row r="44" spans="1:8" ht="16" x14ac:dyDescent="0.2">
      <c r="A44" s="47" t="str">
        <f>IF(ISNUMBER(MATCH($C$5&amp;"|"&amp;32,'Rent Log'!$P$7:$P$506,0)),32,"")</f>
        <v/>
      </c>
      <c r="B44" s="50" t="str">
        <f>IF(A44="","",INDEX('Rent Log'!$A$7:$A$506,MATCH($C$5&amp;"|"&amp;32,'Rent Log'!$P$7:$P$506,0)))</f>
        <v/>
      </c>
      <c r="C44" s="56" t="str">
        <f>IF(A44="","",IF(INDEX('Rent Log'!$K$7:$K$506,MATCH($C$5&amp;"|"&amp;32,'Rent Log'!$P$7:$P$506,0))="Vacant",0,INDEX('Rent Log'!$E$7:$E$506,MATCH($C$5&amp;"|"&amp;32,'Rent Log'!$P$7:$P$506,0))+INDEX('Rent Log'!$F$7:$F$506,MATCH($C$5&amp;"|"&amp;32,'Rent Log'!$P$7:$P$506,0))))</f>
        <v/>
      </c>
      <c r="D44" s="56" t="str">
        <f>IF(A44="","",IF(INDEX('Rent Log'!$K$7:$K$506,MATCH($C$5&amp;"|"&amp;32,'Rent Log'!$P$7:$P$506,0))="Vacant",0,INDEX('Rent Log'!$G$7:$G$506,MATCH($C$5&amp;"|"&amp;32,'Rent Log'!$P$7:$P$506,0))))</f>
        <v/>
      </c>
      <c r="E44" s="50" t="str">
        <f>IF(A44="","",IF(INDEX('Rent Log'!$H$7:$H$506,MATCH($C$5&amp;"|"&amp;32,'Rent Log'!$P$7:$P$506,0))="","",INDEX('Rent Log'!$H$7:$H$506,MATCH($C$5&amp;"|"&amp;32,'Rent Log'!$P$7:$P$506,0))))</f>
        <v/>
      </c>
      <c r="F44" s="47" t="str">
        <f>IF(A44="","",INDEX('Rent Log'!$K$7:$K$506,MATCH($C$5&amp;"|"&amp;32,'Rent Log'!$P$7:$P$506,0)))</f>
        <v/>
      </c>
      <c r="G44" s="56" t="str">
        <f t="shared" si="0"/>
        <v/>
      </c>
      <c r="H44" s="47" t="str">
        <f>IF(A44="","",INDEX('Rent Log'!$M$7:$M$506,MATCH($C$5&amp;"|"&amp;32,'Rent Log'!$P$7:$P$506,0))&amp;"")</f>
        <v/>
      </c>
    </row>
    <row r="45" spans="1:8" ht="16" x14ac:dyDescent="0.2">
      <c r="A45" s="47" t="str">
        <f>IF(ISNUMBER(MATCH($C$5&amp;"|"&amp;33,'Rent Log'!$P$7:$P$506,0)),33,"")</f>
        <v/>
      </c>
      <c r="B45" s="50" t="str">
        <f>IF(A45="","",INDEX('Rent Log'!$A$7:$A$506,MATCH($C$5&amp;"|"&amp;33,'Rent Log'!$P$7:$P$506,0)))</f>
        <v/>
      </c>
      <c r="C45" s="56" t="str">
        <f>IF(A45="","",IF(INDEX('Rent Log'!$K$7:$K$506,MATCH($C$5&amp;"|"&amp;33,'Rent Log'!$P$7:$P$506,0))="Vacant",0,INDEX('Rent Log'!$E$7:$E$506,MATCH($C$5&amp;"|"&amp;33,'Rent Log'!$P$7:$P$506,0))+INDEX('Rent Log'!$F$7:$F$506,MATCH($C$5&amp;"|"&amp;33,'Rent Log'!$P$7:$P$506,0))))</f>
        <v/>
      </c>
      <c r="D45" s="56" t="str">
        <f>IF(A45="","",IF(INDEX('Rent Log'!$K$7:$K$506,MATCH($C$5&amp;"|"&amp;33,'Rent Log'!$P$7:$P$506,0))="Vacant",0,INDEX('Rent Log'!$G$7:$G$506,MATCH($C$5&amp;"|"&amp;33,'Rent Log'!$P$7:$P$506,0))))</f>
        <v/>
      </c>
      <c r="E45" s="50" t="str">
        <f>IF(A45="","",IF(INDEX('Rent Log'!$H$7:$H$506,MATCH($C$5&amp;"|"&amp;33,'Rent Log'!$P$7:$P$506,0))="","",INDEX('Rent Log'!$H$7:$H$506,MATCH($C$5&amp;"|"&amp;33,'Rent Log'!$P$7:$P$506,0))))</f>
        <v/>
      </c>
      <c r="F45" s="47" t="str">
        <f>IF(A45="","",INDEX('Rent Log'!$K$7:$K$506,MATCH($C$5&amp;"|"&amp;33,'Rent Log'!$P$7:$P$506,0)))</f>
        <v/>
      </c>
      <c r="G45" s="56" t="str">
        <f t="shared" si="0"/>
        <v/>
      </c>
      <c r="H45" s="47" t="str">
        <f>IF(A45="","",INDEX('Rent Log'!$M$7:$M$506,MATCH($C$5&amp;"|"&amp;33,'Rent Log'!$P$7:$P$506,0))&amp;"")</f>
        <v/>
      </c>
    </row>
    <row r="46" spans="1:8" ht="16" x14ac:dyDescent="0.2">
      <c r="A46" s="47" t="str">
        <f>IF(ISNUMBER(MATCH($C$5&amp;"|"&amp;34,'Rent Log'!$P$7:$P$506,0)),34,"")</f>
        <v/>
      </c>
      <c r="B46" s="50" t="str">
        <f>IF(A46="","",INDEX('Rent Log'!$A$7:$A$506,MATCH($C$5&amp;"|"&amp;34,'Rent Log'!$P$7:$P$506,0)))</f>
        <v/>
      </c>
      <c r="C46" s="56" t="str">
        <f>IF(A46="","",IF(INDEX('Rent Log'!$K$7:$K$506,MATCH($C$5&amp;"|"&amp;34,'Rent Log'!$P$7:$P$506,0))="Vacant",0,INDEX('Rent Log'!$E$7:$E$506,MATCH($C$5&amp;"|"&amp;34,'Rent Log'!$P$7:$P$506,0))+INDEX('Rent Log'!$F$7:$F$506,MATCH($C$5&amp;"|"&amp;34,'Rent Log'!$P$7:$P$506,0))))</f>
        <v/>
      </c>
      <c r="D46" s="56" t="str">
        <f>IF(A46="","",IF(INDEX('Rent Log'!$K$7:$K$506,MATCH($C$5&amp;"|"&amp;34,'Rent Log'!$P$7:$P$506,0))="Vacant",0,INDEX('Rent Log'!$G$7:$G$506,MATCH($C$5&amp;"|"&amp;34,'Rent Log'!$P$7:$P$506,0))))</f>
        <v/>
      </c>
      <c r="E46" s="50" t="str">
        <f>IF(A46="","",IF(INDEX('Rent Log'!$H$7:$H$506,MATCH($C$5&amp;"|"&amp;34,'Rent Log'!$P$7:$P$506,0))="","",INDEX('Rent Log'!$H$7:$H$506,MATCH($C$5&amp;"|"&amp;34,'Rent Log'!$P$7:$P$506,0))))</f>
        <v/>
      </c>
      <c r="F46" s="47" t="str">
        <f>IF(A46="","",INDEX('Rent Log'!$K$7:$K$506,MATCH($C$5&amp;"|"&amp;34,'Rent Log'!$P$7:$P$506,0)))</f>
        <v/>
      </c>
      <c r="G46" s="56" t="str">
        <f t="shared" ref="G46:G77" si="1">IF(A46="","",N(G45)+C46-D46)</f>
        <v/>
      </c>
      <c r="H46" s="47" t="str">
        <f>IF(A46="","",INDEX('Rent Log'!$M$7:$M$506,MATCH($C$5&amp;"|"&amp;34,'Rent Log'!$P$7:$P$506,0))&amp;"")</f>
        <v/>
      </c>
    </row>
    <row r="47" spans="1:8" ht="16" x14ac:dyDescent="0.2">
      <c r="A47" s="47" t="str">
        <f>IF(ISNUMBER(MATCH($C$5&amp;"|"&amp;35,'Rent Log'!$P$7:$P$506,0)),35,"")</f>
        <v/>
      </c>
      <c r="B47" s="50" t="str">
        <f>IF(A47="","",INDEX('Rent Log'!$A$7:$A$506,MATCH($C$5&amp;"|"&amp;35,'Rent Log'!$P$7:$P$506,0)))</f>
        <v/>
      </c>
      <c r="C47" s="56" t="str">
        <f>IF(A47="","",IF(INDEX('Rent Log'!$K$7:$K$506,MATCH($C$5&amp;"|"&amp;35,'Rent Log'!$P$7:$P$506,0))="Vacant",0,INDEX('Rent Log'!$E$7:$E$506,MATCH($C$5&amp;"|"&amp;35,'Rent Log'!$P$7:$P$506,0))+INDEX('Rent Log'!$F$7:$F$506,MATCH($C$5&amp;"|"&amp;35,'Rent Log'!$P$7:$P$506,0))))</f>
        <v/>
      </c>
      <c r="D47" s="56" t="str">
        <f>IF(A47="","",IF(INDEX('Rent Log'!$K$7:$K$506,MATCH($C$5&amp;"|"&amp;35,'Rent Log'!$P$7:$P$506,0))="Vacant",0,INDEX('Rent Log'!$G$7:$G$506,MATCH($C$5&amp;"|"&amp;35,'Rent Log'!$P$7:$P$506,0))))</f>
        <v/>
      </c>
      <c r="E47" s="50" t="str">
        <f>IF(A47="","",IF(INDEX('Rent Log'!$H$7:$H$506,MATCH($C$5&amp;"|"&amp;35,'Rent Log'!$P$7:$P$506,0))="","",INDEX('Rent Log'!$H$7:$H$506,MATCH($C$5&amp;"|"&amp;35,'Rent Log'!$P$7:$P$506,0))))</f>
        <v/>
      </c>
      <c r="F47" s="47" t="str">
        <f>IF(A47="","",INDEX('Rent Log'!$K$7:$K$506,MATCH($C$5&amp;"|"&amp;35,'Rent Log'!$P$7:$P$506,0)))</f>
        <v/>
      </c>
      <c r="G47" s="56" t="str">
        <f t="shared" si="1"/>
        <v/>
      </c>
      <c r="H47" s="47" t="str">
        <f>IF(A47="","",INDEX('Rent Log'!$M$7:$M$506,MATCH($C$5&amp;"|"&amp;35,'Rent Log'!$P$7:$P$506,0))&amp;"")</f>
        <v/>
      </c>
    </row>
    <row r="48" spans="1:8" ht="16" x14ac:dyDescent="0.2">
      <c r="A48" s="47" t="str">
        <f>IF(ISNUMBER(MATCH($C$5&amp;"|"&amp;36,'Rent Log'!$P$7:$P$506,0)),36,"")</f>
        <v/>
      </c>
      <c r="B48" s="50" t="str">
        <f>IF(A48="","",INDEX('Rent Log'!$A$7:$A$506,MATCH($C$5&amp;"|"&amp;36,'Rent Log'!$P$7:$P$506,0)))</f>
        <v/>
      </c>
      <c r="C48" s="56" t="str">
        <f>IF(A48="","",IF(INDEX('Rent Log'!$K$7:$K$506,MATCH($C$5&amp;"|"&amp;36,'Rent Log'!$P$7:$P$506,0))="Vacant",0,INDEX('Rent Log'!$E$7:$E$506,MATCH($C$5&amp;"|"&amp;36,'Rent Log'!$P$7:$P$506,0))+INDEX('Rent Log'!$F$7:$F$506,MATCH($C$5&amp;"|"&amp;36,'Rent Log'!$P$7:$P$506,0))))</f>
        <v/>
      </c>
      <c r="D48" s="56" t="str">
        <f>IF(A48="","",IF(INDEX('Rent Log'!$K$7:$K$506,MATCH($C$5&amp;"|"&amp;36,'Rent Log'!$P$7:$P$506,0))="Vacant",0,INDEX('Rent Log'!$G$7:$G$506,MATCH($C$5&amp;"|"&amp;36,'Rent Log'!$P$7:$P$506,0))))</f>
        <v/>
      </c>
      <c r="E48" s="50" t="str">
        <f>IF(A48="","",IF(INDEX('Rent Log'!$H$7:$H$506,MATCH($C$5&amp;"|"&amp;36,'Rent Log'!$P$7:$P$506,0))="","",INDEX('Rent Log'!$H$7:$H$506,MATCH($C$5&amp;"|"&amp;36,'Rent Log'!$P$7:$P$506,0))))</f>
        <v/>
      </c>
      <c r="F48" s="47" t="str">
        <f>IF(A48="","",INDEX('Rent Log'!$K$7:$K$506,MATCH($C$5&amp;"|"&amp;36,'Rent Log'!$P$7:$P$506,0)))</f>
        <v/>
      </c>
      <c r="G48" s="56" t="str">
        <f t="shared" si="1"/>
        <v/>
      </c>
      <c r="H48" s="47" t="str">
        <f>IF(A48="","",INDEX('Rent Log'!$M$7:$M$506,MATCH($C$5&amp;"|"&amp;36,'Rent Log'!$P$7:$P$506,0))&amp;"")</f>
        <v/>
      </c>
    </row>
    <row r="49" spans="1:8" ht="16" x14ac:dyDescent="0.2">
      <c r="A49" s="47" t="str">
        <f>IF(ISNUMBER(MATCH($C$5&amp;"|"&amp;37,'Rent Log'!$P$7:$P$506,0)),37,"")</f>
        <v/>
      </c>
      <c r="B49" s="50" t="str">
        <f>IF(A49="","",INDEX('Rent Log'!$A$7:$A$506,MATCH($C$5&amp;"|"&amp;37,'Rent Log'!$P$7:$P$506,0)))</f>
        <v/>
      </c>
      <c r="C49" s="56" t="str">
        <f>IF(A49="","",IF(INDEX('Rent Log'!$K$7:$K$506,MATCH($C$5&amp;"|"&amp;37,'Rent Log'!$P$7:$P$506,0))="Vacant",0,INDEX('Rent Log'!$E$7:$E$506,MATCH($C$5&amp;"|"&amp;37,'Rent Log'!$P$7:$P$506,0))+INDEX('Rent Log'!$F$7:$F$506,MATCH($C$5&amp;"|"&amp;37,'Rent Log'!$P$7:$P$506,0))))</f>
        <v/>
      </c>
      <c r="D49" s="56" t="str">
        <f>IF(A49="","",IF(INDEX('Rent Log'!$K$7:$K$506,MATCH($C$5&amp;"|"&amp;37,'Rent Log'!$P$7:$P$506,0))="Vacant",0,INDEX('Rent Log'!$G$7:$G$506,MATCH($C$5&amp;"|"&amp;37,'Rent Log'!$P$7:$P$506,0))))</f>
        <v/>
      </c>
      <c r="E49" s="50" t="str">
        <f>IF(A49="","",IF(INDEX('Rent Log'!$H$7:$H$506,MATCH($C$5&amp;"|"&amp;37,'Rent Log'!$P$7:$P$506,0))="","",INDEX('Rent Log'!$H$7:$H$506,MATCH($C$5&amp;"|"&amp;37,'Rent Log'!$P$7:$P$506,0))))</f>
        <v/>
      </c>
      <c r="F49" s="47" t="str">
        <f>IF(A49="","",INDEX('Rent Log'!$K$7:$K$506,MATCH($C$5&amp;"|"&amp;37,'Rent Log'!$P$7:$P$506,0)))</f>
        <v/>
      </c>
      <c r="G49" s="56" t="str">
        <f t="shared" si="1"/>
        <v/>
      </c>
      <c r="H49" s="47" t="str">
        <f>IF(A49="","",INDEX('Rent Log'!$M$7:$M$506,MATCH($C$5&amp;"|"&amp;37,'Rent Log'!$P$7:$P$506,0))&amp;"")</f>
        <v/>
      </c>
    </row>
    <row r="50" spans="1:8" ht="16" x14ac:dyDescent="0.2">
      <c r="A50" s="47" t="str">
        <f>IF(ISNUMBER(MATCH($C$5&amp;"|"&amp;38,'Rent Log'!$P$7:$P$506,0)),38,"")</f>
        <v/>
      </c>
      <c r="B50" s="50" t="str">
        <f>IF(A50="","",INDEX('Rent Log'!$A$7:$A$506,MATCH($C$5&amp;"|"&amp;38,'Rent Log'!$P$7:$P$506,0)))</f>
        <v/>
      </c>
      <c r="C50" s="56" t="str">
        <f>IF(A50="","",IF(INDEX('Rent Log'!$K$7:$K$506,MATCH($C$5&amp;"|"&amp;38,'Rent Log'!$P$7:$P$506,0))="Vacant",0,INDEX('Rent Log'!$E$7:$E$506,MATCH($C$5&amp;"|"&amp;38,'Rent Log'!$P$7:$P$506,0))+INDEX('Rent Log'!$F$7:$F$506,MATCH($C$5&amp;"|"&amp;38,'Rent Log'!$P$7:$P$506,0))))</f>
        <v/>
      </c>
      <c r="D50" s="56" t="str">
        <f>IF(A50="","",IF(INDEX('Rent Log'!$K$7:$K$506,MATCH($C$5&amp;"|"&amp;38,'Rent Log'!$P$7:$P$506,0))="Vacant",0,INDEX('Rent Log'!$G$7:$G$506,MATCH($C$5&amp;"|"&amp;38,'Rent Log'!$P$7:$P$506,0))))</f>
        <v/>
      </c>
      <c r="E50" s="50" t="str">
        <f>IF(A50="","",IF(INDEX('Rent Log'!$H$7:$H$506,MATCH($C$5&amp;"|"&amp;38,'Rent Log'!$P$7:$P$506,0))="","",INDEX('Rent Log'!$H$7:$H$506,MATCH($C$5&amp;"|"&amp;38,'Rent Log'!$P$7:$P$506,0))))</f>
        <v/>
      </c>
      <c r="F50" s="47" t="str">
        <f>IF(A50="","",INDEX('Rent Log'!$K$7:$K$506,MATCH($C$5&amp;"|"&amp;38,'Rent Log'!$P$7:$P$506,0)))</f>
        <v/>
      </c>
      <c r="G50" s="56" t="str">
        <f t="shared" si="1"/>
        <v/>
      </c>
      <c r="H50" s="47" t="str">
        <f>IF(A50="","",INDEX('Rent Log'!$M$7:$M$506,MATCH($C$5&amp;"|"&amp;38,'Rent Log'!$P$7:$P$506,0))&amp;"")</f>
        <v/>
      </c>
    </row>
    <row r="51" spans="1:8" ht="16" x14ac:dyDescent="0.2">
      <c r="A51" s="47" t="str">
        <f>IF(ISNUMBER(MATCH($C$5&amp;"|"&amp;39,'Rent Log'!$P$7:$P$506,0)),39,"")</f>
        <v/>
      </c>
      <c r="B51" s="50" t="str">
        <f>IF(A51="","",INDEX('Rent Log'!$A$7:$A$506,MATCH($C$5&amp;"|"&amp;39,'Rent Log'!$P$7:$P$506,0)))</f>
        <v/>
      </c>
      <c r="C51" s="56" t="str">
        <f>IF(A51="","",IF(INDEX('Rent Log'!$K$7:$K$506,MATCH($C$5&amp;"|"&amp;39,'Rent Log'!$P$7:$P$506,0))="Vacant",0,INDEX('Rent Log'!$E$7:$E$506,MATCH($C$5&amp;"|"&amp;39,'Rent Log'!$P$7:$P$506,0))+INDEX('Rent Log'!$F$7:$F$506,MATCH($C$5&amp;"|"&amp;39,'Rent Log'!$P$7:$P$506,0))))</f>
        <v/>
      </c>
      <c r="D51" s="56" t="str">
        <f>IF(A51="","",IF(INDEX('Rent Log'!$K$7:$K$506,MATCH($C$5&amp;"|"&amp;39,'Rent Log'!$P$7:$P$506,0))="Vacant",0,INDEX('Rent Log'!$G$7:$G$506,MATCH($C$5&amp;"|"&amp;39,'Rent Log'!$P$7:$P$506,0))))</f>
        <v/>
      </c>
      <c r="E51" s="50" t="str">
        <f>IF(A51="","",IF(INDEX('Rent Log'!$H$7:$H$506,MATCH($C$5&amp;"|"&amp;39,'Rent Log'!$P$7:$P$506,0))="","",INDEX('Rent Log'!$H$7:$H$506,MATCH($C$5&amp;"|"&amp;39,'Rent Log'!$P$7:$P$506,0))))</f>
        <v/>
      </c>
      <c r="F51" s="47" t="str">
        <f>IF(A51="","",INDEX('Rent Log'!$K$7:$K$506,MATCH($C$5&amp;"|"&amp;39,'Rent Log'!$P$7:$P$506,0)))</f>
        <v/>
      </c>
      <c r="G51" s="56" t="str">
        <f t="shared" si="1"/>
        <v/>
      </c>
      <c r="H51" s="47" t="str">
        <f>IF(A51="","",INDEX('Rent Log'!$M$7:$M$506,MATCH($C$5&amp;"|"&amp;39,'Rent Log'!$P$7:$P$506,0))&amp;"")</f>
        <v/>
      </c>
    </row>
    <row r="52" spans="1:8" ht="16" x14ac:dyDescent="0.2">
      <c r="A52" s="47" t="str">
        <f>IF(ISNUMBER(MATCH($C$5&amp;"|"&amp;40,'Rent Log'!$P$7:$P$506,0)),40,"")</f>
        <v/>
      </c>
      <c r="B52" s="50" t="str">
        <f>IF(A52="","",INDEX('Rent Log'!$A$7:$A$506,MATCH($C$5&amp;"|"&amp;40,'Rent Log'!$P$7:$P$506,0)))</f>
        <v/>
      </c>
      <c r="C52" s="56" t="str">
        <f>IF(A52="","",IF(INDEX('Rent Log'!$K$7:$K$506,MATCH($C$5&amp;"|"&amp;40,'Rent Log'!$P$7:$P$506,0))="Vacant",0,INDEX('Rent Log'!$E$7:$E$506,MATCH($C$5&amp;"|"&amp;40,'Rent Log'!$P$7:$P$506,0))+INDEX('Rent Log'!$F$7:$F$506,MATCH($C$5&amp;"|"&amp;40,'Rent Log'!$P$7:$P$506,0))))</f>
        <v/>
      </c>
      <c r="D52" s="56" t="str">
        <f>IF(A52="","",IF(INDEX('Rent Log'!$K$7:$K$506,MATCH($C$5&amp;"|"&amp;40,'Rent Log'!$P$7:$P$506,0))="Vacant",0,INDEX('Rent Log'!$G$7:$G$506,MATCH($C$5&amp;"|"&amp;40,'Rent Log'!$P$7:$P$506,0))))</f>
        <v/>
      </c>
      <c r="E52" s="50" t="str">
        <f>IF(A52="","",IF(INDEX('Rent Log'!$H$7:$H$506,MATCH($C$5&amp;"|"&amp;40,'Rent Log'!$P$7:$P$506,0))="","",INDEX('Rent Log'!$H$7:$H$506,MATCH($C$5&amp;"|"&amp;40,'Rent Log'!$P$7:$P$506,0))))</f>
        <v/>
      </c>
      <c r="F52" s="47" t="str">
        <f>IF(A52="","",INDEX('Rent Log'!$K$7:$K$506,MATCH($C$5&amp;"|"&amp;40,'Rent Log'!$P$7:$P$506,0)))</f>
        <v/>
      </c>
      <c r="G52" s="56" t="str">
        <f t="shared" si="1"/>
        <v/>
      </c>
      <c r="H52" s="47" t="str">
        <f>IF(A52="","",INDEX('Rent Log'!$M$7:$M$506,MATCH($C$5&amp;"|"&amp;40,'Rent Log'!$P$7:$P$506,0))&amp;"")</f>
        <v/>
      </c>
    </row>
    <row r="53" spans="1:8" ht="16" x14ac:dyDescent="0.2">
      <c r="A53" s="47" t="str">
        <f>IF(ISNUMBER(MATCH($C$5&amp;"|"&amp;41,'Rent Log'!$P$7:$P$506,0)),41,"")</f>
        <v/>
      </c>
      <c r="B53" s="50" t="str">
        <f>IF(A53="","",INDEX('Rent Log'!$A$7:$A$506,MATCH($C$5&amp;"|"&amp;41,'Rent Log'!$P$7:$P$506,0)))</f>
        <v/>
      </c>
      <c r="C53" s="56" t="str">
        <f>IF(A53="","",IF(INDEX('Rent Log'!$K$7:$K$506,MATCH($C$5&amp;"|"&amp;41,'Rent Log'!$P$7:$P$506,0))="Vacant",0,INDEX('Rent Log'!$E$7:$E$506,MATCH($C$5&amp;"|"&amp;41,'Rent Log'!$P$7:$P$506,0))+INDEX('Rent Log'!$F$7:$F$506,MATCH($C$5&amp;"|"&amp;41,'Rent Log'!$P$7:$P$506,0))))</f>
        <v/>
      </c>
      <c r="D53" s="56" t="str">
        <f>IF(A53="","",IF(INDEX('Rent Log'!$K$7:$K$506,MATCH($C$5&amp;"|"&amp;41,'Rent Log'!$P$7:$P$506,0))="Vacant",0,INDEX('Rent Log'!$G$7:$G$506,MATCH($C$5&amp;"|"&amp;41,'Rent Log'!$P$7:$P$506,0))))</f>
        <v/>
      </c>
      <c r="E53" s="50" t="str">
        <f>IF(A53="","",IF(INDEX('Rent Log'!$H$7:$H$506,MATCH($C$5&amp;"|"&amp;41,'Rent Log'!$P$7:$P$506,0))="","",INDEX('Rent Log'!$H$7:$H$506,MATCH($C$5&amp;"|"&amp;41,'Rent Log'!$P$7:$P$506,0))))</f>
        <v/>
      </c>
      <c r="F53" s="47" t="str">
        <f>IF(A53="","",INDEX('Rent Log'!$K$7:$K$506,MATCH($C$5&amp;"|"&amp;41,'Rent Log'!$P$7:$P$506,0)))</f>
        <v/>
      </c>
      <c r="G53" s="56" t="str">
        <f t="shared" si="1"/>
        <v/>
      </c>
      <c r="H53" s="47" t="str">
        <f>IF(A53="","",INDEX('Rent Log'!$M$7:$M$506,MATCH($C$5&amp;"|"&amp;41,'Rent Log'!$P$7:$P$506,0))&amp;"")</f>
        <v/>
      </c>
    </row>
    <row r="54" spans="1:8" ht="16" x14ac:dyDescent="0.2">
      <c r="A54" s="47" t="str">
        <f>IF(ISNUMBER(MATCH($C$5&amp;"|"&amp;42,'Rent Log'!$P$7:$P$506,0)),42,"")</f>
        <v/>
      </c>
      <c r="B54" s="50" t="str">
        <f>IF(A54="","",INDEX('Rent Log'!$A$7:$A$506,MATCH($C$5&amp;"|"&amp;42,'Rent Log'!$P$7:$P$506,0)))</f>
        <v/>
      </c>
      <c r="C54" s="56" t="str">
        <f>IF(A54="","",IF(INDEX('Rent Log'!$K$7:$K$506,MATCH($C$5&amp;"|"&amp;42,'Rent Log'!$P$7:$P$506,0))="Vacant",0,INDEX('Rent Log'!$E$7:$E$506,MATCH($C$5&amp;"|"&amp;42,'Rent Log'!$P$7:$P$506,0))+INDEX('Rent Log'!$F$7:$F$506,MATCH($C$5&amp;"|"&amp;42,'Rent Log'!$P$7:$P$506,0))))</f>
        <v/>
      </c>
      <c r="D54" s="56" t="str">
        <f>IF(A54="","",IF(INDEX('Rent Log'!$K$7:$K$506,MATCH($C$5&amp;"|"&amp;42,'Rent Log'!$P$7:$P$506,0))="Vacant",0,INDEX('Rent Log'!$G$7:$G$506,MATCH($C$5&amp;"|"&amp;42,'Rent Log'!$P$7:$P$506,0))))</f>
        <v/>
      </c>
      <c r="E54" s="50" t="str">
        <f>IF(A54="","",IF(INDEX('Rent Log'!$H$7:$H$506,MATCH($C$5&amp;"|"&amp;42,'Rent Log'!$P$7:$P$506,0))="","",INDEX('Rent Log'!$H$7:$H$506,MATCH($C$5&amp;"|"&amp;42,'Rent Log'!$P$7:$P$506,0))))</f>
        <v/>
      </c>
      <c r="F54" s="47" t="str">
        <f>IF(A54="","",INDEX('Rent Log'!$K$7:$K$506,MATCH($C$5&amp;"|"&amp;42,'Rent Log'!$P$7:$P$506,0)))</f>
        <v/>
      </c>
      <c r="G54" s="56" t="str">
        <f t="shared" si="1"/>
        <v/>
      </c>
      <c r="H54" s="47" t="str">
        <f>IF(A54="","",INDEX('Rent Log'!$M$7:$M$506,MATCH($C$5&amp;"|"&amp;42,'Rent Log'!$P$7:$P$506,0))&amp;"")</f>
        <v/>
      </c>
    </row>
    <row r="55" spans="1:8" ht="16" x14ac:dyDescent="0.2">
      <c r="A55" s="47" t="str">
        <f>IF(ISNUMBER(MATCH($C$5&amp;"|"&amp;43,'Rent Log'!$P$7:$P$506,0)),43,"")</f>
        <v/>
      </c>
      <c r="B55" s="50" t="str">
        <f>IF(A55="","",INDEX('Rent Log'!$A$7:$A$506,MATCH($C$5&amp;"|"&amp;43,'Rent Log'!$P$7:$P$506,0)))</f>
        <v/>
      </c>
      <c r="C55" s="56" t="str">
        <f>IF(A55="","",IF(INDEX('Rent Log'!$K$7:$K$506,MATCH($C$5&amp;"|"&amp;43,'Rent Log'!$P$7:$P$506,0))="Vacant",0,INDEX('Rent Log'!$E$7:$E$506,MATCH($C$5&amp;"|"&amp;43,'Rent Log'!$P$7:$P$506,0))+INDEX('Rent Log'!$F$7:$F$506,MATCH($C$5&amp;"|"&amp;43,'Rent Log'!$P$7:$P$506,0))))</f>
        <v/>
      </c>
      <c r="D55" s="56" t="str">
        <f>IF(A55="","",IF(INDEX('Rent Log'!$K$7:$K$506,MATCH($C$5&amp;"|"&amp;43,'Rent Log'!$P$7:$P$506,0))="Vacant",0,INDEX('Rent Log'!$G$7:$G$506,MATCH($C$5&amp;"|"&amp;43,'Rent Log'!$P$7:$P$506,0))))</f>
        <v/>
      </c>
      <c r="E55" s="50" t="str">
        <f>IF(A55="","",IF(INDEX('Rent Log'!$H$7:$H$506,MATCH($C$5&amp;"|"&amp;43,'Rent Log'!$P$7:$P$506,0))="","",INDEX('Rent Log'!$H$7:$H$506,MATCH($C$5&amp;"|"&amp;43,'Rent Log'!$P$7:$P$506,0))))</f>
        <v/>
      </c>
      <c r="F55" s="47" t="str">
        <f>IF(A55="","",INDEX('Rent Log'!$K$7:$K$506,MATCH($C$5&amp;"|"&amp;43,'Rent Log'!$P$7:$P$506,0)))</f>
        <v/>
      </c>
      <c r="G55" s="56" t="str">
        <f t="shared" si="1"/>
        <v/>
      </c>
      <c r="H55" s="47" t="str">
        <f>IF(A55="","",INDEX('Rent Log'!$M$7:$M$506,MATCH($C$5&amp;"|"&amp;43,'Rent Log'!$P$7:$P$506,0))&amp;"")</f>
        <v/>
      </c>
    </row>
    <row r="56" spans="1:8" ht="16" x14ac:dyDescent="0.2">
      <c r="A56" s="47" t="str">
        <f>IF(ISNUMBER(MATCH($C$5&amp;"|"&amp;44,'Rent Log'!$P$7:$P$506,0)),44,"")</f>
        <v/>
      </c>
      <c r="B56" s="50" t="str">
        <f>IF(A56="","",INDEX('Rent Log'!$A$7:$A$506,MATCH($C$5&amp;"|"&amp;44,'Rent Log'!$P$7:$P$506,0)))</f>
        <v/>
      </c>
      <c r="C56" s="56" t="str">
        <f>IF(A56="","",IF(INDEX('Rent Log'!$K$7:$K$506,MATCH($C$5&amp;"|"&amp;44,'Rent Log'!$P$7:$P$506,0))="Vacant",0,INDEX('Rent Log'!$E$7:$E$506,MATCH($C$5&amp;"|"&amp;44,'Rent Log'!$P$7:$P$506,0))+INDEX('Rent Log'!$F$7:$F$506,MATCH($C$5&amp;"|"&amp;44,'Rent Log'!$P$7:$P$506,0))))</f>
        <v/>
      </c>
      <c r="D56" s="56" t="str">
        <f>IF(A56="","",IF(INDEX('Rent Log'!$K$7:$K$506,MATCH($C$5&amp;"|"&amp;44,'Rent Log'!$P$7:$P$506,0))="Vacant",0,INDEX('Rent Log'!$G$7:$G$506,MATCH($C$5&amp;"|"&amp;44,'Rent Log'!$P$7:$P$506,0))))</f>
        <v/>
      </c>
      <c r="E56" s="50" t="str">
        <f>IF(A56="","",IF(INDEX('Rent Log'!$H$7:$H$506,MATCH($C$5&amp;"|"&amp;44,'Rent Log'!$P$7:$P$506,0))="","",INDEX('Rent Log'!$H$7:$H$506,MATCH($C$5&amp;"|"&amp;44,'Rent Log'!$P$7:$P$506,0))))</f>
        <v/>
      </c>
      <c r="F56" s="47" t="str">
        <f>IF(A56="","",INDEX('Rent Log'!$K$7:$K$506,MATCH($C$5&amp;"|"&amp;44,'Rent Log'!$P$7:$P$506,0)))</f>
        <v/>
      </c>
      <c r="G56" s="56" t="str">
        <f t="shared" si="1"/>
        <v/>
      </c>
      <c r="H56" s="47" t="str">
        <f>IF(A56="","",INDEX('Rent Log'!$M$7:$M$506,MATCH($C$5&amp;"|"&amp;44,'Rent Log'!$P$7:$P$506,0))&amp;"")</f>
        <v/>
      </c>
    </row>
    <row r="57" spans="1:8" ht="16" x14ac:dyDescent="0.2">
      <c r="A57" s="47" t="str">
        <f>IF(ISNUMBER(MATCH($C$5&amp;"|"&amp;45,'Rent Log'!$P$7:$P$506,0)),45,"")</f>
        <v/>
      </c>
      <c r="B57" s="50" t="str">
        <f>IF(A57="","",INDEX('Rent Log'!$A$7:$A$506,MATCH($C$5&amp;"|"&amp;45,'Rent Log'!$P$7:$P$506,0)))</f>
        <v/>
      </c>
      <c r="C57" s="56" t="str">
        <f>IF(A57="","",IF(INDEX('Rent Log'!$K$7:$K$506,MATCH($C$5&amp;"|"&amp;45,'Rent Log'!$P$7:$P$506,0))="Vacant",0,INDEX('Rent Log'!$E$7:$E$506,MATCH($C$5&amp;"|"&amp;45,'Rent Log'!$P$7:$P$506,0))+INDEX('Rent Log'!$F$7:$F$506,MATCH($C$5&amp;"|"&amp;45,'Rent Log'!$P$7:$P$506,0))))</f>
        <v/>
      </c>
      <c r="D57" s="56" t="str">
        <f>IF(A57="","",IF(INDEX('Rent Log'!$K$7:$K$506,MATCH($C$5&amp;"|"&amp;45,'Rent Log'!$P$7:$P$506,0))="Vacant",0,INDEX('Rent Log'!$G$7:$G$506,MATCH($C$5&amp;"|"&amp;45,'Rent Log'!$P$7:$P$506,0))))</f>
        <v/>
      </c>
      <c r="E57" s="50" t="str">
        <f>IF(A57="","",IF(INDEX('Rent Log'!$H$7:$H$506,MATCH($C$5&amp;"|"&amp;45,'Rent Log'!$P$7:$P$506,0))="","",INDEX('Rent Log'!$H$7:$H$506,MATCH($C$5&amp;"|"&amp;45,'Rent Log'!$P$7:$P$506,0))))</f>
        <v/>
      </c>
      <c r="F57" s="47" t="str">
        <f>IF(A57="","",INDEX('Rent Log'!$K$7:$K$506,MATCH($C$5&amp;"|"&amp;45,'Rent Log'!$P$7:$P$506,0)))</f>
        <v/>
      </c>
      <c r="G57" s="56" t="str">
        <f t="shared" si="1"/>
        <v/>
      </c>
      <c r="H57" s="47" t="str">
        <f>IF(A57="","",INDEX('Rent Log'!$M$7:$M$506,MATCH($C$5&amp;"|"&amp;45,'Rent Log'!$P$7:$P$506,0))&amp;"")</f>
        <v/>
      </c>
    </row>
    <row r="58" spans="1:8" ht="16" x14ac:dyDescent="0.2">
      <c r="A58" s="47" t="str">
        <f>IF(ISNUMBER(MATCH($C$5&amp;"|"&amp;46,'Rent Log'!$P$7:$P$506,0)),46,"")</f>
        <v/>
      </c>
      <c r="B58" s="50" t="str">
        <f>IF(A58="","",INDEX('Rent Log'!$A$7:$A$506,MATCH($C$5&amp;"|"&amp;46,'Rent Log'!$P$7:$P$506,0)))</f>
        <v/>
      </c>
      <c r="C58" s="56" t="str">
        <f>IF(A58="","",IF(INDEX('Rent Log'!$K$7:$K$506,MATCH($C$5&amp;"|"&amp;46,'Rent Log'!$P$7:$P$506,0))="Vacant",0,INDEX('Rent Log'!$E$7:$E$506,MATCH($C$5&amp;"|"&amp;46,'Rent Log'!$P$7:$P$506,0))+INDEX('Rent Log'!$F$7:$F$506,MATCH($C$5&amp;"|"&amp;46,'Rent Log'!$P$7:$P$506,0))))</f>
        <v/>
      </c>
      <c r="D58" s="56" t="str">
        <f>IF(A58="","",IF(INDEX('Rent Log'!$K$7:$K$506,MATCH($C$5&amp;"|"&amp;46,'Rent Log'!$P$7:$P$506,0))="Vacant",0,INDEX('Rent Log'!$G$7:$G$506,MATCH($C$5&amp;"|"&amp;46,'Rent Log'!$P$7:$P$506,0))))</f>
        <v/>
      </c>
      <c r="E58" s="50" t="str">
        <f>IF(A58="","",IF(INDEX('Rent Log'!$H$7:$H$506,MATCH($C$5&amp;"|"&amp;46,'Rent Log'!$P$7:$P$506,0))="","",INDEX('Rent Log'!$H$7:$H$506,MATCH($C$5&amp;"|"&amp;46,'Rent Log'!$P$7:$P$506,0))))</f>
        <v/>
      </c>
      <c r="F58" s="47" t="str">
        <f>IF(A58="","",INDEX('Rent Log'!$K$7:$K$506,MATCH($C$5&amp;"|"&amp;46,'Rent Log'!$P$7:$P$506,0)))</f>
        <v/>
      </c>
      <c r="G58" s="56" t="str">
        <f t="shared" si="1"/>
        <v/>
      </c>
      <c r="H58" s="47" t="str">
        <f>IF(A58="","",INDEX('Rent Log'!$M$7:$M$506,MATCH($C$5&amp;"|"&amp;46,'Rent Log'!$P$7:$P$506,0))&amp;"")</f>
        <v/>
      </c>
    </row>
    <row r="59" spans="1:8" ht="16" x14ac:dyDescent="0.2">
      <c r="A59" s="47" t="str">
        <f>IF(ISNUMBER(MATCH($C$5&amp;"|"&amp;47,'Rent Log'!$P$7:$P$506,0)),47,"")</f>
        <v/>
      </c>
      <c r="B59" s="50" t="str">
        <f>IF(A59="","",INDEX('Rent Log'!$A$7:$A$506,MATCH($C$5&amp;"|"&amp;47,'Rent Log'!$P$7:$P$506,0)))</f>
        <v/>
      </c>
      <c r="C59" s="56" t="str">
        <f>IF(A59="","",IF(INDEX('Rent Log'!$K$7:$K$506,MATCH($C$5&amp;"|"&amp;47,'Rent Log'!$P$7:$P$506,0))="Vacant",0,INDEX('Rent Log'!$E$7:$E$506,MATCH($C$5&amp;"|"&amp;47,'Rent Log'!$P$7:$P$506,0))+INDEX('Rent Log'!$F$7:$F$506,MATCH($C$5&amp;"|"&amp;47,'Rent Log'!$P$7:$P$506,0))))</f>
        <v/>
      </c>
      <c r="D59" s="56" t="str">
        <f>IF(A59="","",IF(INDEX('Rent Log'!$K$7:$K$506,MATCH($C$5&amp;"|"&amp;47,'Rent Log'!$P$7:$P$506,0))="Vacant",0,INDEX('Rent Log'!$G$7:$G$506,MATCH($C$5&amp;"|"&amp;47,'Rent Log'!$P$7:$P$506,0))))</f>
        <v/>
      </c>
      <c r="E59" s="50" t="str">
        <f>IF(A59="","",IF(INDEX('Rent Log'!$H$7:$H$506,MATCH($C$5&amp;"|"&amp;47,'Rent Log'!$P$7:$P$506,0))="","",INDEX('Rent Log'!$H$7:$H$506,MATCH($C$5&amp;"|"&amp;47,'Rent Log'!$P$7:$P$506,0))))</f>
        <v/>
      </c>
      <c r="F59" s="47" t="str">
        <f>IF(A59="","",INDEX('Rent Log'!$K$7:$K$506,MATCH($C$5&amp;"|"&amp;47,'Rent Log'!$P$7:$P$506,0)))</f>
        <v/>
      </c>
      <c r="G59" s="56" t="str">
        <f t="shared" si="1"/>
        <v/>
      </c>
      <c r="H59" s="47" t="str">
        <f>IF(A59="","",INDEX('Rent Log'!$M$7:$M$506,MATCH($C$5&amp;"|"&amp;47,'Rent Log'!$P$7:$P$506,0))&amp;"")</f>
        <v/>
      </c>
    </row>
    <row r="60" spans="1:8" ht="16" x14ac:dyDescent="0.2">
      <c r="A60" s="47" t="str">
        <f>IF(ISNUMBER(MATCH($C$5&amp;"|"&amp;48,'Rent Log'!$P$7:$P$506,0)),48,"")</f>
        <v/>
      </c>
      <c r="B60" s="50" t="str">
        <f>IF(A60="","",INDEX('Rent Log'!$A$7:$A$506,MATCH($C$5&amp;"|"&amp;48,'Rent Log'!$P$7:$P$506,0)))</f>
        <v/>
      </c>
      <c r="C60" s="56" t="str">
        <f>IF(A60="","",IF(INDEX('Rent Log'!$K$7:$K$506,MATCH($C$5&amp;"|"&amp;48,'Rent Log'!$P$7:$P$506,0))="Vacant",0,INDEX('Rent Log'!$E$7:$E$506,MATCH($C$5&amp;"|"&amp;48,'Rent Log'!$P$7:$P$506,0))+INDEX('Rent Log'!$F$7:$F$506,MATCH($C$5&amp;"|"&amp;48,'Rent Log'!$P$7:$P$506,0))))</f>
        <v/>
      </c>
      <c r="D60" s="56" t="str">
        <f>IF(A60="","",IF(INDEX('Rent Log'!$K$7:$K$506,MATCH($C$5&amp;"|"&amp;48,'Rent Log'!$P$7:$P$506,0))="Vacant",0,INDEX('Rent Log'!$G$7:$G$506,MATCH($C$5&amp;"|"&amp;48,'Rent Log'!$P$7:$P$506,0))))</f>
        <v/>
      </c>
      <c r="E60" s="50" t="str">
        <f>IF(A60="","",IF(INDEX('Rent Log'!$H$7:$H$506,MATCH($C$5&amp;"|"&amp;48,'Rent Log'!$P$7:$P$506,0))="","",INDEX('Rent Log'!$H$7:$H$506,MATCH($C$5&amp;"|"&amp;48,'Rent Log'!$P$7:$P$506,0))))</f>
        <v/>
      </c>
      <c r="F60" s="47" t="str">
        <f>IF(A60="","",INDEX('Rent Log'!$K$7:$K$506,MATCH($C$5&amp;"|"&amp;48,'Rent Log'!$P$7:$P$506,0)))</f>
        <v/>
      </c>
      <c r="G60" s="56" t="str">
        <f t="shared" si="1"/>
        <v/>
      </c>
      <c r="H60" s="47" t="str">
        <f>IF(A60="","",INDEX('Rent Log'!$M$7:$M$506,MATCH($C$5&amp;"|"&amp;48,'Rent Log'!$P$7:$P$506,0))&amp;"")</f>
        <v/>
      </c>
    </row>
    <row r="61" spans="1:8" ht="16" x14ac:dyDescent="0.2">
      <c r="A61" s="47" t="str">
        <f>IF(ISNUMBER(MATCH($C$5&amp;"|"&amp;49,'Rent Log'!$P$7:$P$506,0)),49,"")</f>
        <v/>
      </c>
      <c r="B61" s="50" t="str">
        <f>IF(A61="","",INDEX('Rent Log'!$A$7:$A$506,MATCH($C$5&amp;"|"&amp;49,'Rent Log'!$P$7:$P$506,0)))</f>
        <v/>
      </c>
      <c r="C61" s="56" t="str">
        <f>IF(A61="","",IF(INDEX('Rent Log'!$K$7:$K$506,MATCH($C$5&amp;"|"&amp;49,'Rent Log'!$P$7:$P$506,0))="Vacant",0,INDEX('Rent Log'!$E$7:$E$506,MATCH($C$5&amp;"|"&amp;49,'Rent Log'!$P$7:$P$506,0))+INDEX('Rent Log'!$F$7:$F$506,MATCH($C$5&amp;"|"&amp;49,'Rent Log'!$P$7:$P$506,0))))</f>
        <v/>
      </c>
      <c r="D61" s="56" t="str">
        <f>IF(A61="","",IF(INDEX('Rent Log'!$K$7:$K$506,MATCH($C$5&amp;"|"&amp;49,'Rent Log'!$P$7:$P$506,0))="Vacant",0,INDEX('Rent Log'!$G$7:$G$506,MATCH($C$5&amp;"|"&amp;49,'Rent Log'!$P$7:$P$506,0))))</f>
        <v/>
      </c>
      <c r="E61" s="50" t="str">
        <f>IF(A61="","",IF(INDEX('Rent Log'!$H$7:$H$506,MATCH($C$5&amp;"|"&amp;49,'Rent Log'!$P$7:$P$506,0))="","",INDEX('Rent Log'!$H$7:$H$506,MATCH($C$5&amp;"|"&amp;49,'Rent Log'!$P$7:$P$506,0))))</f>
        <v/>
      </c>
      <c r="F61" s="47" t="str">
        <f>IF(A61="","",INDEX('Rent Log'!$K$7:$K$506,MATCH($C$5&amp;"|"&amp;49,'Rent Log'!$P$7:$P$506,0)))</f>
        <v/>
      </c>
      <c r="G61" s="56" t="str">
        <f t="shared" si="1"/>
        <v/>
      </c>
      <c r="H61" s="47" t="str">
        <f>IF(A61="","",INDEX('Rent Log'!$M$7:$M$506,MATCH($C$5&amp;"|"&amp;49,'Rent Log'!$P$7:$P$506,0))&amp;"")</f>
        <v/>
      </c>
    </row>
    <row r="62" spans="1:8" ht="16" x14ac:dyDescent="0.2">
      <c r="A62" s="47" t="str">
        <f>IF(ISNUMBER(MATCH($C$5&amp;"|"&amp;50,'Rent Log'!$P$7:$P$506,0)),50,"")</f>
        <v/>
      </c>
      <c r="B62" s="50" t="str">
        <f>IF(A62="","",INDEX('Rent Log'!$A$7:$A$506,MATCH($C$5&amp;"|"&amp;50,'Rent Log'!$P$7:$P$506,0)))</f>
        <v/>
      </c>
      <c r="C62" s="56" t="str">
        <f>IF(A62="","",IF(INDEX('Rent Log'!$K$7:$K$506,MATCH($C$5&amp;"|"&amp;50,'Rent Log'!$P$7:$P$506,0))="Vacant",0,INDEX('Rent Log'!$E$7:$E$506,MATCH($C$5&amp;"|"&amp;50,'Rent Log'!$P$7:$P$506,0))+INDEX('Rent Log'!$F$7:$F$506,MATCH($C$5&amp;"|"&amp;50,'Rent Log'!$P$7:$P$506,0))))</f>
        <v/>
      </c>
      <c r="D62" s="56" t="str">
        <f>IF(A62="","",IF(INDEX('Rent Log'!$K$7:$K$506,MATCH($C$5&amp;"|"&amp;50,'Rent Log'!$P$7:$P$506,0))="Vacant",0,INDEX('Rent Log'!$G$7:$G$506,MATCH($C$5&amp;"|"&amp;50,'Rent Log'!$P$7:$P$506,0))))</f>
        <v/>
      </c>
      <c r="E62" s="50" t="str">
        <f>IF(A62="","",IF(INDEX('Rent Log'!$H$7:$H$506,MATCH($C$5&amp;"|"&amp;50,'Rent Log'!$P$7:$P$506,0))="","",INDEX('Rent Log'!$H$7:$H$506,MATCH($C$5&amp;"|"&amp;50,'Rent Log'!$P$7:$P$506,0))))</f>
        <v/>
      </c>
      <c r="F62" s="47" t="str">
        <f>IF(A62="","",INDEX('Rent Log'!$K$7:$K$506,MATCH($C$5&amp;"|"&amp;50,'Rent Log'!$P$7:$P$506,0)))</f>
        <v/>
      </c>
      <c r="G62" s="56" t="str">
        <f t="shared" si="1"/>
        <v/>
      </c>
      <c r="H62" s="47" t="str">
        <f>IF(A62="","",INDEX('Rent Log'!$M$7:$M$506,MATCH($C$5&amp;"|"&amp;50,'Rent Log'!$P$7:$P$506,0))&amp;"")</f>
        <v/>
      </c>
    </row>
    <row r="63" spans="1:8" ht="16" x14ac:dyDescent="0.2">
      <c r="A63" s="47" t="str">
        <f>IF(ISNUMBER(MATCH($C$5&amp;"|"&amp;51,'Rent Log'!$P$7:$P$506,0)),51,"")</f>
        <v/>
      </c>
      <c r="B63" s="50" t="str">
        <f>IF(A63="","",INDEX('Rent Log'!$A$7:$A$506,MATCH($C$5&amp;"|"&amp;51,'Rent Log'!$P$7:$P$506,0)))</f>
        <v/>
      </c>
      <c r="C63" s="56" t="str">
        <f>IF(A63="","",IF(INDEX('Rent Log'!$K$7:$K$506,MATCH($C$5&amp;"|"&amp;51,'Rent Log'!$P$7:$P$506,0))="Vacant",0,INDEX('Rent Log'!$E$7:$E$506,MATCH($C$5&amp;"|"&amp;51,'Rent Log'!$P$7:$P$506,0))+INDEX('Rent Log'!$F$7:$F$506,MATCH($C$5&amp;"|"&amp;51,'Rent Log'!$P$7:$P$506,0))))</f>
        <v/>
      </c>
      <c r="D63" s="56" t="str">
        <f>IF(A63="","",IF(INDEX('Rent Log'!$K$7:$K$506,MATCH($C$5&amp;"|"&amp;51,'Rent Log'!$P$7:$P$506,0))="Vacant",0,INDEX('Rent Log'!$G$7:$G$506,MATCH($C$5&amp;"|"&amp;51,'Rent Log'!$P$7:$P$506,0))))</f>
        <v/>
      </c>
      <c r="E63" s="50" t="str">
        <f>IF(A63="","",IF(INDEX('Rent Log'!$H$7:$H$506,MATCH($C$5&amp;"|"&amp;51,'Rent Log'!$P$7:$P$506,0))="","",INDEX('Rent Log'!$H$7:$H$506,MATCH($C$5&amp;"|"&amp;51,'Rent Log'!$P$7:$P$506,0))))</f>
        <v/>
      </c>
      <c r="F63" s="47" t="str">
        <f>IF(A63="","",INDEX('Rent Log'!$K$7:$K$506,MATCH($C$5&amp;"|"&amp;51,'Rent Log'!$P$7:$P$506,0)))</f>
        <v/>
      </c>
      <c r="G63" s="56" t="str">
        <f t="shared" si="1"/>
        <v/>
      </c>
      <c r="H63" s="47" t="str">
        <f>IF(A63="","",INDEX('Rent Log'!$M$7:$M$506,MATCH($C$5&amp;"|"&amp;51,'Rent Log'!$P$7:$P$506,0))&amp;"")</f>
        <v/>
      </c>
    </row>
    <row r="64" spans="1:8" ht="16" x14ac:dyDescent="0.2">
      <c r="A64" s="47" t="str">
        <f>IF(ISNUMBER(MATCH($C$5&amp;"|"&amp;52,'Rent Log'!$P$7:$P$506,0)),52,"")</f>
        <v/>
      </c>
      <c r="B64" s="50" t="str">
        <f>IF(A64="","",INDEX('Rent Log'!$A$7:$A$506,MATCH($C$5&amp;"|"&amp;52,'Rent Log'!$P$7:$P$506,0)))</f>
        <v/>
      </c>
      <c r="C64" s="56" t="str">
        <f>IF(A64="","",IF(INDEX('Rent Log'!$K$7:$K$506,MATCH($C$5&amp;"|"&amp;52,'Rent Log'!$P$7:$P$506,0))="Vacant",0,INDEX('Rent Log'!$E$7:$E$506,MATCH($C$5&amp;"|"&amp;52,'Rent Log'!$P$7:$P$506,0))+INDEX('Rent Log'!$F$7:$F$506,MATCH($C$5&amp;"|"&amp;52,'Rent Log'!$P$7:$P$506,0))))</f>
        <v/>
      </c>
      <c r="D64" s="56" t="str">
        <f>IF(A64="","",IF(INDEX('Rent Log'!$K$7:$K$506,MATCH($C$5&amp;"|"&amp;52,'Rent Log'!$P$7:$P$506,0))="Vacant",0,INDEX('Rent Log'!$G$7:$G$506,MATCH($C$5&amp;"|"&amp;52,'Rent Log'!$P$7:$P$506,0))))</f>
        <v/>
      </c>
      <c r="E64" s="50" t="str">
        <f>IF(A64="","",IF(INDEX('Rent Log'!$H$7:$H$506,MATCH($C$5&amp;"|"&amp;52,'Rent Log'!$P$7:$P$506,0))="","",INDEX('Rent Log'!$H$7:$H$506,MATCH($C$5&amp;"|"&amp;52,'Rent Log'!$P$7:$P$506,0))))</f>
        <v/>
      </c>
      <c r="F64" s="47" t="str">
        <f>IF(A64="","",INDEX('Rent Log'!$K$7:$K$506,MATCH($C$5&amp;"|"&amp;52,'Rent Log'!$P$7:$P$506,0)))</f>
        <v/>
      </c>
      <c r="G64" s="56" t="str">
        <f t="shared" si="1"/>
        <v/>
      </c>
      <c r="H64" s="47" t="str">
        <f>IF(A64="","",INDEX('Rent Log'!$M$7:$M$506,MATCH($C$5&amp;"|"&amp;52,'Rent Log'!$P$7:$P$506,0))&amp;"")</f>
        <v/>
      </c>
    </row>
    <row r="65" spans="1:8" ht="16" x14ac:dyDescent="0.2">
      <c r="A65" s="47" t="str">
        <f>IF(ISNUMBER(MATCH($C$5&amp;"|"&amp;53,'Rent Log'!$P$7:$P$506,0)),53,"")</f>
        <v/>
      </c>
      <c r="B65" s="50" t="str">
        <f>IF(A65="","",INDEX('Rent Log'!$A$7:$A$506,MATCH($C$5&amp;"|"&amp;53,'Rent Log'!$P$7:$P$506,0)))</f>
        <v/>
      </c>
      <c r="C65" s="56" t="str">
        <f>IF(A65="","",IF(INDEX('Rent Log'!$K$7:$K$506,MATCH($C$5&amp;"|"&amp;53,'Rent Log'!$P$7:$P$506,0))="Vacant",0,INDEX('Rent Log'!$E$7:$E$506,MATCH($C$5&amp;"|"&amp;53,'Rent Log'!$P$7:$P$506,0))+INDEX('Rent Log'!$F$7:$F$506,MATCH($C$5&amp;"|"&amp;53,'Rent Log'!$P$7:$P$506,0))))</f>
        <v/>
      </c>
      <c r="D65" s="56" t="str">
        <f>IF(A65="","",IF(INDEX('Rent Log'!$K$7:$K$506,MATCH($C$5&amp;"|"&amp;53,'Rent Log'!$P$7:$P$506,0))="Vacant",0,INDEX('Rent Log'!$G$7:$G$506,MATCH($C$5&amp;"|"&amp;53,'Rent Log'!$P$7:$P$506,0))))</f>
        <v/>
      </c>
      <c r="E65" s="50" t="str">
        <f>IF(A65="","",IF(INDEX('Rent Log'!$H$7:$H$506,MATCH($C$5&amp;"|"&amp;53,'Rent Log'!$P$7:$P$506,0))="","",INDEX('Rent Log'!$H$7:$H$506,MATCH($C$5&amp;"|"&amp;53,'Rent Log'!$P$7:$P$506,0))))</f>
        <v/>
      </c>
      <c r="F65" s="47" t="str">
        <f>IF(A65="","",INDEX('Rent Log'!$K$7:$K$506,MATCH($C$5&amp;"|"&amp;53,'Rent Log'!$P$7:$P$506,0)))</f>
        <v/>
      </c>
      <c r="G65" s="56" t="str">
        <f t="shared" si="1"/>
        <v/>
      </c>
      <c r="H65" s="47" t="str">
        <f>IF(A65="","",INDEX('Rent Log'!$M$7:$M$506,MATCH($C$5&amp;"|"&amp;53,'Rent Log'!$P$7:$P$506,0))&amp;"")</f>
        <v/>
      </c>
    </row>
    <row r="66" spans="1:8" ht="16" x14ac:dyDescent="0.2">
      <c r="A66" s="47" t="str">
        <f>IF(ISNUMBER(MATCH($C$5&amp;"|"&amp;54,'Rent Log'!$P$7:$P$506,0)),54,"")</f>
        <v/>
      </c>
      <c r="B66" s="50" t="str">
        <f>IF(A66="","",INDEX('Rent Log'!$A$7:$A$506,MATCH($C$5&amp;"|"&amp;54,'Rent Log'!$P$7:$P$506,0)))</f>
        <v/>
      </c>
      <c r="C66" s="56" t="str">
        <f>IF(A66="","",IF(INDEX('Rent Log'!$K$7:$K$506,MATCH($C$5&amp;"|"&amp;54,'Rent Log'!$P$7:$P$506,0))="Vacant",0,INDEX('Rent Log'!$E$7:$E$506,MATCH($C$5&amp;"|"&amp;54,'Rent Log'!$P$7:$P$506,0))+INDEX('Rent Log'!$F$7:$F$506,MATCH($C$5&amp;"|"&amp;54,'Rent Log'!$P$7:$P$506,0))))</f>
        <v/>
      </c>
      <c r="D66" s="56" t="str">
        <f>IF(A66="","",IF(INDEX('Rent Log'!$K$7:$K$506,MATCH($C$5&amp;"|"&amp;54,'Rent Log'!$P$7:$P$506,0))="Vacant",0,INDEX('Rent Log'!$G$7:$G$506,MATCH($C$5&amp;"|"&amp;54,'Rent Log'!$P$7:$P$506,0))))</f>
        <v/>
      </c>
      <c r="E66" s="50" t="str">
        <f>IF(A66="","",IF(INDEX('Rent Log'!$H$7:$H$506,MATCH($C$5&amp;"|"&amp;54,'Rent Log'!$P$7:$P$506,0))="","",INDEX('Rent Log'!$H$7:$H$506,MATCH($C$5&amp;"|"&amp;54,'Rent Log'!$P$7:$P$506,0))))</f>
        <v/>
      </c>
      <c r="F66" s="47" t="str">
        <f>IF(A66="","",INDEX('Rent Log'!$K$7:$K$506,MATCH($C$5&amp;"|"&amp;54,'Rent Log'!$P$7:$P$506,0)))</f>
        <v/>
      </c>
      <c r="G66" s="56" t="str">
        <f t="shared" si="1"/>
        <v/>
      </c>
      <c r="H66" s="47" t="str">
        <f>IF(A66="","",INDEX('Rent Log'!$M$7:$M$506,MATCH($C$5&amp;"|"&amp;54,'Rent Log'!$P$7:$P$506,0))&amp;"")</f>
        <v/>
      </c>
    </row>
    <row r="67" spans="1:8" ht="16" x14ac:dyDescent="0.2">
      <c r="A67" s="47" t="str">
        <f>IF(ISNUMBER(MATCH($C$5&amp;"|"&amp;55,'Rent Log'!$P$7:$P$506,0)),55,"")</f>
        <v/>
      </c>
      <c r="B67" s="50" t="str">
        <f>IF(A67="","",INDEX('Rent Log'!$A$7:$A$506,MATCH($C$5&amp;"|"&amp;55,'Rent Log'!$P$7:$P$506,0)))</f>
        <v/>
      </c>
      <c r="C67" s="56" t="str">
        <f>IF(A67="","",IF(INDEX('Rent Log'!$K$7:$K$506,MATCH($C$5&amp;"|"&amp;55,'Rent Log'!$P$7:$P$506,0))="Vacant",0,INDEX('Rent Log'!$E$7:$E$506,MATCH($C$5&amp;"|"&amp;55,'Rent Log'!$P$7:$P$506,0))+INDEX('Rent Log'!$F$7:$F$506,MATCH($C$5&amp;"|"&amp;55,'Rent Log'!$P$7:$P$506,0))))</f>
        <v/>
      </c>
      <c r="D67" s="56" t="str">
        <f>IF(A67="","",IF(INDEX('Rent Log'!$K$7:$K$506,MATCH($C$5&amp;"|"&amp;55,'Rent Log'!$P$7:$P$506,0))="Vacant",0,INDEX('Rent Log'!$G$7:$G$506,MATCH($C$5&amp;"|"&amp;55,'Rent Log'!$P$7:$P$506,0))))</f>
        <v/>
      </c>
      <c r="E67" s="50" t="str">
        <f>IF(A67="","",IF(INDEX('Rent Log'!$H$7:$H$506,MATCH($C$5&amp;"|"&amp;55,'Rent Log'!$P$7:$P$506,0))="","",INDEX('Rent Log'!$H$7:$H$506,MATCH($C$5&amp;"|"&amp;55,'Rent Log'!$P$7:$P$506,0))))</f>
        <v/>
      </c>
      <c r="F67" s="47" t="str">
        <f>IF(A67="","",INDEX('Rent Log'!$K$7:$K$506,MATCH($C$5&amp;"|"&amp;55,'Rent Log'!$P$7:$P$506,0)))</f>
        <v/>
      </c>
      <c r="G67" s="56" t="str">
        <f t="shared" si="1"/>
        <v/>
      </c>
      <c r="H67" s="47" t="str">
        <f>IF(A67="","",INDEX('Rent Log'!$M$7:$M$506,MATCH($C$5&amp;"|"&amp;55,'Rent Log'!$P$7:$P$506,0))&amp;"")</f>
        <v/>
      </c>
    </row>
    <row r="68" spans="1:8" ht="16" x14ac:dyDescent="0.2">
      <c r="A68" s="47" t="str">
        <f>IF(ISNUMBER(MATCH($C$5&amp;"|"&amp;56,'Rent Log'!$P$7:$P$506,0)),56,"")</f>
        <v/>
      </c>
      <c r="B68" s="50" t="str">
        <f>IF(A68="","",INDEX('Rent Log'!$A$7:$A$506,MATCH($C$5&amp;"|"&amp;56,'Rent Log'!$P$7:$P$506,0)))</f>
        <v/>
      </c>
      <c r="C68" s="56" t="str">
        <f>IF(A68="","",IF(INDEX('Rent Log'!$K$7:$K$506,MATCH($C$5&amp;"|"&amp;56,'Rent Log'!$P$7:$P$506,0))="Vacant",0,INDEX('Rent Log'!$E$7:$E$506,MATCH($C$5&amp;"|"&amp;56,'Rent Log'!$P$7:$P$506,0))+INDEX('Rent Log'!$F$7:$F$506,MATCH($C$5&amp;"|"&amp;56,'Rent Log'!$P$7:$P$506,0))))</f>
        <v/>
      </c>
      <c r="D68" s="56" t="str">
        <f>IF(A68="","",IF(INDEX('Rent Log'!$K$7:$K$506,MATCH($C$5&amp;"|"&amp;56,'Rent Log'!$P$7:$P$506,0))="Vacant",0,INDEX('Rent Log'!$G$7:$G$506,MATCH($C$5&amp;"|"&amp;56,'Rent Log'!$P$7:$P$506,0))))</f>
        <v/>
      </c>
      <c r="E68" s="50" t="str">
        <f>IF(A68="","",IF(INDEX('Rent Log'!$H$7:$H$506,MATCH($C$5&amp;"|"&amp;56,'Rent Log'!$P$7:$P$506,0))="","",INDEX('Rent Log'!$H$7:$H$506,MATCH($C$5&amp;"|"&amp;56,'Rent Log'!$P$7:$P$506,0))))</f>
        <v/>
      </c>
      <c r="F68" s="47" t="str">
        <f>IF(A68="","",INDEX('Rent Log'!$K$7:$K$506,MATCH($C$5&amp;"|"&amp;56,'Rent Log'!$P$7:$P$506,0)))</f>
        <v/>
      </c>
      <c r="G68" s="56" t="str">
        <f t="shared" si="1"/>
        <v/>
      </c>
      <c r="H68" s="47" t="str">
        <f>IF(A68="","",INDEX('Rent Log'!$M$7:$M$506,MATCH($C$5&amp;"|"&amp;56,'Rent Log'!$P$7:$P$506,0))&amp;"")</f>
        <v/>
      </c>
    </row>
    <row r="69" spans="1:8" ht="16" x14ac:dyDescent="0.2">
      <c r="A69" s="47" t="str">
        <f>IF(ISNUMBER(MATCH($C$5&amp;"|"&amp;57,'Rent Log'!$P$7:$P$506,0)),57,"")</f>
        <v/>
      </c>
      <c r="B69" s="50" t="str">
        <f>IF(A69="","",INDEX('Rent Log'!$A$7:$A$506,MATCH($C$5&amp;"|"&amp;57,'Rent Log'!$P$7:$P$506,0)))</f>
        <v/>
      </c>
      <c r="C69" s="56" t="str">
        <f>IF(A69="","",IF(INDEX('Rent Log'!$K$7:$K$506,MATCH($C$5&amp;"|"&amp;57,'Rent Log'!$P$7:$P$506,0))="Vacant",0,INDEX('Rent Log'!$E$7:$E$506,MATCH($C$5&amp;"|"&amp;57,'Rent Log'!$P$7:$P$506,0))+INDEX('Rent Log'!$F$7:$F$506,MATCH($C$5&amp;"|"&amp;57,'Rent Log'!$P$7:$P$506,0))))</f>
        <v/>
      </c>
      <c r="D69" s="56" t="str">
        <f>IF(A69="","",IF(INDEX('Rent Log'!$K$7:$K$506,MATCH($C$5&amp;"|"&amp;57,'Rent Log'!$P$7:$P$506,0))="Vacant",0,INDEX('Rent Log'!$G$7:$G$506,MATCH($C$5&amp;"|"&amp;57,'Rent Log'!$P$7:$P$506,0))))</f>
        <v/>
      </c>
      <c r="E69" s="50" t="str">
        <f>IF(A69="","",IF(INDEX('Rent Log'!$H$7:$H$506,MATCH($C$5&amp;"|"&amp;57,'Rent Log'!$P$7:$P$506,0))="","",INDEX('Rent Log'!$H$7:$H$506,MATCH($C$5&amp;"|"&amp;57,'Rent Log'!$P$7:$P$506,0))))</f>
        <v/>
      </c>
      <c r="F69" s="47" t="str">
        <f>IF(A69="","",INDEX('Rent Log'!$K$7:$K$506,MATCH($C$5&amp;"|"&amp;57,'Rent Log'!$P$7:$P$506,0)))</f>
        <v/>
      </c>
      <c r="G69" s="56" t="str">
        <f t="shared" si="1"/>
        <v/>
      </c>
      <c r="H69" s="47" t="str">
        <f>IF(A69="","",INDEX('Rent Log'!$M$7:$M$506,MATCH($C$5&amp;"|"&amp;57,'Rent Log'!$P$7:$P$506,0))&amp;"")</f>
        <v/>
      </c>
    </row>
    <row r="70" spans="1:8" ht="16" x14ac:dyDescent="0.2">
      <c r="A70" s="47" t="str">
        <f>IF(ISNUMBER(MATCH($C$5&amp;"|"&amp;58,'Rent Log'!$P$7:$P$506,0)),58,"")</f>
        <v/>
      </c>
      <c r="B70" s="50" t="str">
        <f>IF(A70="","",INDEX('Rent Log'!$A$7:$A$506,MATCH($C$5&amp;"|"&amp;58,'Rent Log'!$P$7:$P$506,0)))</f>
        <v/>
      </c>
      <c r="C70" s="56" t="str">
        <f>IF(A70="","",IF(INDEX('Rent Log'!$K$7:$K$506,MATCH($C$5&amp;"|"&amp;58,'Rent Log'!$P$7:$P$506,0))="Vacant",0,INDEX('Rent Log'!$E$7:$E$506,MATCH($C$5&amp;"|"&amp;58,'Rent Log'!$P$7:$P$506,0))+INDEX('Rent Log'!$F$7:$F$506,MATCH($C$5&amp;"|"&amp;58,'Rent Log'!$P$7:$P$506,0))))</f>
        <v/>
      </c>
      <c r="D70" s="56" t="str">
        <f>IF(A70="","",IF(INDEX('Rent Log'!$K$7:$K$506,MATCH($C$5&amp;"|"&amp;58,'Rent Log'!$P$7:$P$506,0))="Vacant",0,INDEX('Rent Log'!$G$7:$G$506,MATCH($C$5&amp;"|"&amp;58,'Rent Log'!$P$7:$P$506,0))))</f>
        <v/>
      </c>
      <c r="E70" s="50" t="str">
        <f>IF(A70="","",IF(INDEX('Rent Log'!$H$7:$H$506,MATCH($C$5&amp;"|"&amp;58,'Rent Log'!$P$7:$P$506,0))="","",INDEX('Rent Log'!$H$7:$H$506,MATCH($C$5&amp;"|"&amp;58,'Rent Log'!$P$7:$P$506,0))))</f>
        <v/>
      </c>
      <c r="F70" s="47" t="str">
        <f>IF(A70="","",INDEX('Rent Log'!$K$7:$K$506,MATCH($C$5&amp;"|"&amp;58,'Rent Log'!$P$7:$P$506,0)))</f>
        <v/>
      </c>
      <c r="G70" s="56" t="str">
        <f t="shared" si="1"/>
        <v/>
      </c>
      <c r="H70" s="47" t="str">
        <f>IF(A70="","",INDEX('Rent Log'!$M$7:$M$506,MATCH($C$5&amp;"|"&amp;58,'Rent Log'!$P$7:$P$506,0))&amp;"")</f>
        <v/>
      </c>
    </row>
    <row r="71" spans="1:8" ht="16" x14ac:dyDescent="0.2">
      <c r="A71" s="47" t="str">
        <f>IF(ISNUMBER(MATCH($C$5&amp;"|"&amp;59,'Rent Log'!$P$7:$P$506,0)),59,"")</f>
        <v/>
      </c>
      <c r="B71" s="50" t="str">
        <f>IF(A71="","",INDEX('Rent Log'!$A$7:$A$506,MATCH($C$5&amp;"|"&amp;59,'Rent Log'!$P$7:$P$506,0)))</f>
        <v/>
      </c>
      <c r="C71" s="56" t="str">
        <f>IF(A71="","",IF(INDEX('Rent Log'!$K$7:$K$506,MATCH($C$5&amp;"|"&amp;59,'Rent Log'!$P$7:$P$506,0))="Vacant",0,INDEX('Rent Log'!$E$7:$E$506,MATCH($C$5&amp;"|"&amp;59,'Rent Log'!$P$7:$P$506,0))+INDEX('Rent Log'!$F$7:$F$506,MATCH($C$5&amp;"|"&amp;59,'Rent Log'!$P$7:$P$506,0))))</f>
        <v/>
      </c>
      <c r="D71" s="56" t="str">
        <f>IF(A71="","",IF(INDEX('Rent Log'!$K$7:$K$506,MATCH($C$5&amp;"|"&amp;59,'Rent Log'!$P$7:$P$506,0))="Vacant",0,INDEX('Rent Log'!$G$7:$G$506,MATCH($C$5&amp;"|"&amp;59,'Rent Log'!$P$7:$P$506,0))))</f>
        <v/>
      </c>
      <c r="E71" s="50" t="str">
        <f>IF(A71="","",IF(INDEX('Rent Log'!$H$7:$H$506,MATCH($C$5&amp;"|"&amp;59,'Rent Log'!$P$7:$P$506,0))="","",INDEX('Rent Log'!$H$7:$H$506,MATCH($C$5&amp;"|"&amp;59,'Rent Log'!$P$7:$P$506,0))))</f>
        <v/>
      </c>
      <c r="F71" s="47" t="str">
        <f>IF(A71="","",INDEX('Rent Log'!$K$7:$K$506,MATCH($C$5&amp;"|"&amp;59,'Rent Log'!$P$7:$P$506,0)))</f>
        <v/>
      </c>
      <c r="G71" s="56" t="str">
        <f t="shared" si="1"/>
        <v/>
      </c>
      <c r="H71" s="47" t="str">
        <f>IF(A71="","",INDEX('Rent Log'!$M$7:$M$506,MATCH($C$5&amp;"|"&amp;59,'Rent Log'!$P$7:$P$506,0))&amp;"")</f>
        <v/>
      </c>
    </row>
    <row r="72" spans="1:8" ht="16" x14ac:dyDescent="0.2">
      <c r="A72" s="47" t="str">
        <f>IF(ISNUMBER(MATCH($C$5&amp;"|"&amp;60,'Rent Log'!$P$7:$P$506,0)),60,"")</f>
        <v/>
      </c>
      <c r="B72" s="50" t="str">
        <f>IF(A72="","",INDEX('Rent Log'!$A$7:$A$506,MATCH($C$5&amp;"|"&amp;60,'Rent Log'!$P$7:$P$506,0)))</f>
        <v/>
      </c>
      <c r="C72" s="56" t="str">
        <f>IF(A72="","",IF(INDEX('Rent Log'!$K$7:$K$506,MATCH($C$5&amp;"|"&amp;60,'Rent Log'!$P$7:$P$506,0))="Vacant",0,INDEX('Rent Log'!$E$7:$E$506,MATCH($C$5&amp;"|"&amp;60,'Rent Log'!$P$7:$P$506,0))+INDEX('Rent Log'!$F$7:$F$506,MATCH($C$5&amp;"|"&amp;60,'Rent Log'!$P$7:$P$506,0))))</f>
        <v/>
      </c>
      <c r="D72" s="56" t="str">
        <f>IF(A72="","",IF(INDEX('Rent Log'!$K$7:$K$506,MATCH($C$5&amp;"|"&amp;60,'Rent Log'!$P$7:$P$506,0))="Vacant",0,INDEX('Rent Log'!$G$7:$G$506,MATCH($C$5&amp;"|"&amp;60,'Rent Log'!$P$7:$P$506,0))))</f>
        <v/>
      </c>
      <c r="E72" s="50" t="str">
        <f>IF(A72="","",IF(INDEX('Rent Log'!$H$7:$H$506,MATCH($C$5&amp;"|"&amp;60,'Rent Log'!$P$7:$P$506,0))="","",INDEX('Rent Log'!$H$7:$H$506,MATCH($C$5&amp;"|"&amp;60,'Rent Log'!$P$7:$P$506,0))))</f>
        <v/>
      </c>
      <c r="F72" s="47" t="str">
        <f>IF(A72="","",INDEX('Rent Log'!$K$7:$K$506,MATCH($C$5&amp;"|"&amp;60,'Rent Log'!$P$7:$P$506,0)))</f>
        <v/>
      </c>
      <c r="G72" s="56" t="str">
        <f t="shared" si="1"/>
        <v/>
      </c>
      <c r="H72" s="47" t="str">
        <f>IF(A72="","",INDEX('Rent Log'!$M$7:$M$506,MATCH($C$5&amp;"|"&amp;60,'Rent Log'!$P$7:$P$506,0))&amp;"")</f>
        <v/>
      </c>
    </row>
    <row r="73" spans="1:8" ht="16" x14ac:dyDescent="0.2">
      <c r="A73" s="47" t="str">
        <f>IF(ISNUMBER(MATCH($C$5&amp;"|"&amp;61,'Rent Log'!$P$7:$P$506,0)),61,"")</f>
        <v/>
      </c>
      <c r="B73" s="50" t="str">
        <f>IF(A73="","",INDEX('Rent Log'!$A$7:$A$506,MATCH($C$5&amp;"|"&amp;61,'Rent Log'!$P$7:$P$506,0)))</f>
        <v/>
      </c>
      <c r="C73" s="56" t="str">
        <f>IF(A73="","",IF(INDEX('Rent Log'!$K$7:$K$506,MATCH($C$5&amp;"|"&amp;61,'Rent Log'!$P$7:$P$506,0))="Vacant",0,INDEX('Rent Log'!$E$7:$E$506,MATCH($C$5&amp;"|"&amp;61,'Rent Log'!$P$7:$P$506,0))+INDEX('Rent Log'!$F$7:$F$506,MATCH($C$5&amp;"|"&amp;61,'Rent Log'!$P$7:$P$506,0))))</f>
        <v/>
      </c>
      <c r="D73" s="56" t="str">
        <f>IF(A73="","",IF(INDEX('Rent Log'!$K$7:$K$506,MATCH($C$5&amp;"|"&amp;61,'Rent Log'!$P$7:$P$506,0))="Vacant",0,INDEX('Rent Log'!$G$7:$G$506,MATCH($C$5&amp;"|"&amp;61,'Rent Log'!$P$7:$P$506,0))))</f>
        <v/>
      </c>
      <c r="E73" s="50" t="str">
        <f>IF(A73="","",IF(INDEX('Rent Log'!$H$7:$H$506,MATCH($C$5&amp;"|"&amp;61,'Rent Log'!$P$7:$P$506,0))="","",INDEX('Rent Log'!$H$7:$H$506,MATCH($C$5&amp;"|"&amp;61,'Rent Log'!$P$7:$P$506,0))))</f>
        <v/>
      </c>
      <c r="F73" s="47" t="str">
        <f>IF(A73="","",INDEX('Rent Log'!$K$7:$K$506,MATCH($C$5&amp;"|"&amp;61,'Rent Log'!$P$7:$P$506,0)))</f>
        <v/>
      </c>
      <c r="G73" s="56" t="str">
        <f t="shared" si="1"/>
        <v/>
      </c>
      <c r="H73" s="47" t="str">
        <f>IF(A73="","",INDEX('Rent Log'!$M$7:$M$506,MATCH($C$5&amp;"|"&amp;61,'Rent Log'!$P$7:$P$506,0))&amp;"")</f>
        <v/>
      </c>
    </row>
    <row r="74" spans="1:8" ht="16" x14ac:dyDescent="0.2">
      <c r="A74" s="47" t="str">
        <f>IF(ISNUMBER(MATCH($C$5&amp;"|"&amp;62,'Rent Log'!$P$7:$P$506,0)),62,"")</f>
        <v/>
      </c>
      <c r="B74" s="50" t="str">
        <f>IF(A74="","",INDEX('Rent Log'!$A$7:$A$506,MATCH($C$5&amp;"|"&amp;62,'Rent Log'!$P$7:$P$506,0)))</f>
        <v/>
      </c>
      <c r="C74" s="56" t="str">
        <f>IF(A74="","",IF(INDEX('Rent Log'!$K$7:$K$506,MATCH($C$5&amp;"|"&amp;62,'Rent Log'!$P$7:$P$506,0))="Vacant",0,INDEX('Rent Log'!$E$7:$E$506,MATCH($C$5&amp;"|"&amp;62,'Rent Log'!$P$7:$P$506,0))+INDEX('Rent Log'!$F$7:$F$506,MATCH($C$5&amp;"|"&amp;62,'Rent Log'!$P$7:$P$506,0))))</f>
        <v/>
      </c>
      <c r="D74" s="56" t="str">
        <f>IF(A74="","",IF(INDEX('Rent Log'!$K$7:$K$506,MATCH($C$5&amp;"|"&amp;62,'Rent Log'!$P$7:$P$506,0))="Vacant",0,INDEX('Rent Log'!$G$7:$G$506,MATCH($C$5&amp;"|"&amp;62,'Rent Log'!$P$7:$P$506,0))))</f>
        <v/>
      </c>
      <c r="E74" s="50" t="str">
        <f>IF(A74="","",IF(INDEX('Rent Log'!$H$7:$H$506,MATCH($C$5&amp;"|"&amp;62,'Rent Log'!$P$7:$P$506,0))="","",INDEX('Rent Log'!$H$7:$H$506,MATCH($C$5&amp;"|"&amp;62,'Rent Log'!$P$7:$P$506,0))))</f>
        <v/>
      </c>
      <c r="F74" s="47" t="str">
        <f>IF(A74="","",INDEX('Rent Log'!$K$7:$K$506,MATCH($C$5&amp;"|"&amp;62,'Rent Log'!$P$7:$P$506,0)))</f>
        <v/>
      </c>
      <c r="G74" s="56" t="str">
        <f t="shared" si="1"/>
        <v/>
      </c>
      <c r="H74" s="47" t="str">
        <f>IF(A74="","",INDEX('Rent Log'!$M$7:$M$506,MATCH($C$5&amp;"|"&amp;62,'Rent Log'!$P$7:$P$506,0))&amp;"")</f>
        <v/>
      </c>
    </row>
    <row r="75" spans="1:8" ht="16" x14ac:dyDescent="0.2">
      <c r="A75" s="47" t="str">
        <f>IF(ISNUMBER(MATCH($C$5&amp;"|"&amp;63,'Rent Log'!$P$7:$P$506,0)),63,"")</f>
        <v/>
      </c>
      <c r="B75" s="50" t="str">
        <f>IF(A75="","",INDEX('Rent Log'!$A$7:$A$506,MATCH($C$5&amp;"|"&amp;63,'Rent Log'!$P$7:$P$506,0)))</f>
        <v/>
      </c>
      <c r="C75" s="56" t="str">
        <f>IF(A75="","",IF(INDEX('Rent Log'!$K$7:$K$506,MATCH($C$5&amp;"|"&amp;63,'Rent Log'!$P$7:$P$506,0))="Vacant",0,INDEX('Rent Log'!$E$7:$E$506,MATCH($C$5&amp;"|"&amp;63,'Rent Log'!$P$7:$P$506,0))+INDEX('Rent Log'!$F$7:$F$506,MATCH($C$5&amp;"|"&amp;63,'Rent Log'!$P$7:$P$506,0))))</f>
        <v/>
      </c>
      <c r="D75" s="56" t="str">
        <f>IF(A75="","",IF(INDEX('Rent Log'!$K$7:$K$506,MATCH($C$5&amp;"|"&amp;63,'Rent Log'!$P$7:$P$506,0))="Vacant",0,INDEX('Rent Log'!$G$7:$G$506,MATCH($C$5&amp;"|"&amp;63,'Rent Log'!$P$7:$P$506,0))))</f>
        <v/>
      </c>
      <c r="E75" s="50" t="str">
        <f>IF(A75="","",IF(INDEX('Rent Log'!$H$7:$H$506,MATCH($C$5&amp;"|"&amp;63,'Rent Log'!$P$7:$P$506,0))="","",INDEX('Rent Log'!$H$7:$H$506,MATCH($C$5&amp;"|"&amp;63,'Rent Log'!$P$7:$P$506,0))))</f>
        <v/>
      </c>
      <c r="F75" s="47" t="str">
        <f>IF(A75="","",INDEX('Rent Log'!$K$7:$K$506,MATCH($C$5&amp;"|"&amp;63,'Rent Log'!$P$7:$P$506,0)))</f>
        <v/>
      </c>
      <c r="G75" s="56" t="str">
        <f t="shared" si="1"/>
        <v/>
      </c>
      <c r="H75" s="47" t="str">
        <f>IF(A75="","",INDEX('Rent Log'!$M$7:$M$506,MATCH($C$5&amp;"|"&amp;63,'Rent Log'!$P$7:$P$506,0))&amp;"")</f>
        <v/>
      </c>
    </row>
    <row r="76" spans="1:8" ht="16" x14ac:dyDescent="0.2">
      <c r="A76" s="47" t="str">
        <f>IF(ISNUMBER(MATCH($C$5&amp;"|"&amp;64,'Rent Log'!$P$7:$P$506,0)),64,"")</f>
        <v/>
      </c>
      <c r="B76" s="50" t="str">
        <f>IF(A76="","",INDEX('Rent Log'!$A$7:$A$506,MATCH($C$5&amp;"|"&amp;64,'Rent Log'!$P$7:$P$506,0)))</f>
        <v/>
      </c>
      <c r="C76" s="56" t="str">
        <f>IF(A76="","",IF(INDEX('Rent Log'!$K$7:$K$506,MATCH($C$5&amp;"|"&amp;64,'Rent Log'!$P$7:$P$506,0))="Vacant",0,INDEX('Rent Log'!$E$7:$E$506,MATCH($C$5&amp;"|"&amp;64,'Rent Log'!$P$7:$P$506,0))+INDEX('Rent Log'!$F$7:$F$506,MATCH($C$5&amp;"|"&amp;64,'Rent Log'!$P$7:$P$506,0))))</f>
        <v/>
      </c>
      <c r="D76" s="56" t="str">
        <f>IF(A76="","",IF(INDEX('Rent Log'!$K$7:$K$506,MATCH($C$5&amp;"|"&amp;64,'Rent Log'!$P$7:$P$506,0))="Vacant",0,INDEX('Rent Log'!$G$7:$G$506,MATCH($C$5&amp;"|"&amp;64,'Rent Log'!$P$7:$P$506,0))))</f>
        <v/>
      </c>
      <c r="E76" s="50" t="str">
        <f>IF(A76="","",IF(INDEX('Rent Log'!$H$7:$H$506,MATCH($C$5&amp;"|"&amp;64,'Rent Log'!$P$7:$P$506,0))="","",INDEX('Rent Log'!$H$7:$H$506,MATCH($C$5&amp;"|"&amp;64,'Rent Log'!$P$7:$P$506,0))))</f>
        <v/>
      </c>
      <c r="F76" s="47" t="str">
        <f>IF(A76="","",INDEX('Rent Log'!$K$7:$K$506,MATCH($C$5&amp;"|"&amp;64,'Rent Log'!$P$7:$P$506,0)))</f>
        <v/>
      </c>
      <c r="G76" s="56" t="str">
        <f t="shared" si="1"/>
        <v/>
      </c>
      <c r="H76" s="47" t="str">
        <f>IF(A76="","",INDEX('Rent Log'!$M$7:$M$506,MATCH($C$5&amp;"|"&amp;64,'Rent Log'!$P$7:$P$506,0))&amp;"")</f>
        <v/>
      </c>
    </row>
    <row r="77" spans="1:8" ht="16" x14ac:dyDescent="0.2">
      <c r="A77" s="47" t="str">
        <f>IF(ISNUMBER(MATCH($C$5&amp;"|"&amp;65,'Rent Log'!$P$7:$P$506,0)),65,"")</f>
        <v/>
      </c>
      <c r="B77" s="50" t="str">
        <f>IF(A77="","",INDEX('Rent Log'!$A$7:$A$506,MATCH($C$5&amp;"|"&amp;65,'Rent Log'!$P$7:$P$506,0)))</f>
        <v/>
      </c>
      <c r="C77" s="56" t="str">
        <f>IF(A77="","",IF(INDEX('Rent Log'!$K$7:$K$506,MATCH($C$5&amp;"|"&amp;65,'Rent Log'!$P$7:$P$506,0))="Vacant",0,INDEX('Rent Log'!$E$7:$E$506,MATCH($C$5&amp;"|"&amp;65,'Rent Log'!$P$7:$P$506,0))+INDEX('Rent Log'!$F$7:$F$506,MATCH($C$5&amp;"|"&amp;65,'Rent Log'!$P$7:$P$506,0))))</f>
        <v/>
      </c>
      <c r="D77" s="56" t="str">
        <f>IF(A77="","",IF(INDEX('Rent Log'!$K$7:$K$506,MATCH($C$5&amp;"|"&amp;65,'Rent Log'!$P$7:$P$506,0))="Vacant",0,INDEX('Rent Log'!$G$7:$G$506,MATCH($C$5&amp;"|"&amp;65,'Rent Log'!$P$7:$P$506,0))))</f>
        <v/>
      </c>
      <c r="E77" s="50" t="str">
        <f>IF(A77="","",IF(INDEX('Rent Log'!$H$7:$H$506,MATCH($C$5&amp;"|"&amp;65,'Rent Log'!$P$7:$P$506,0))="","",INDEX('Rent Log'!$H$7:$H$506,MATCH($C$5&amp;"|"&amp;65,'Rent Log'!$P$7:$P$506,0))))</f>
        <v/>
      </c>
      <c r="F77" s="47" t="str">
        <f>IF(A77="","",INDEX('Rent Log'!$K$7:$K$506,MATCH($C$5&amp;"|"&amp;65,'Rent Log'!$P$7:$P$506,0)))</f>
        <v/>
      </c>
      <c r="G77" s="56" t="str">
        <f t="shared" si="1"/>
        <v/>
      </c>
      <c r="H77" s="47" t="str">
        <f>IF(A77="","",INDEX('Rent Log'!$M$7:$M$506,MATCH($C$5&amp;"|"&amp;65,'Rent Log'!$P$7:$P$506,0))&amp;"")</f>
        <v/>
      </c>
    </row>
    <row r="78" spans="1:8" ht="16" x14ac:dyDescent="0.2">
      <c r="A78" s="47" t="str">
        <f>IF(ISNUMBER(MATCH($C$5&amp;"|"&amp;66,'Rent Log'!$P$7:$P$506,0)),66,"")</f>
        <v/>
      </c>
      <c r="B78" s="50" t="str">
        <f>IF(A78="","",INDEX('Rent Log'!$A$7:$A$506,MATCH($C$5&amp;"|"&amp;66,'Rent Log'!$P$7:$P$506,0)))</f>
        <v/>
      </c>
      <c r="C78" s="56" t="str">
        <f>IF(A78="","",IF(INDEX('Rent Log'!$K$7:$K$506,MATCH($C$5&amp;"|"&amp;66,'Rent Log'!$P$7:$P$506,0))="Vacant",0,INDEX('Rent Log'!$E$7:$E$506,MATCH($C$5&amp;"|"&amp;66,'Rent Log'!$P$7:$P$506,0))+INDEX('Rent Log'!$F$7:$F$506,MATCH($C$5&amp;"|"&amp;66,'Rent Log'!$P$7:$P$506,0))))</f>
        <v/>
      </c>
      <c r="D78" s="56" t="str">
        <f>IF(A78="","",IF(INDEX('Rent Log'!$K$7:$K$506,MATCH($C$5&amp;"|"&amp;66,'Rent Log'!$P$7:$P$506,0))="Vacant",0,INDEX('Rent Log'!$G$7:$G$506,MATCH($C$5&amp;"|"&amp;66,'Rent Log'!$P$7:$P$506,0))))</f>
        <v/>
      </c>
      <c r="E78" s="50" t="str">
        <f>IF(A78="","",IF(INDEX('Rent Log'!$H$7:$H$506,MATCH($C$5&amp;"|"&amp;66,'Rent Log'!$P$7:$P$506,0))="","",INDEX('Rent Log'!$H$7:$H$506,MATCH($C$5&amp;"|"&amp;66,'Rent Log'!$P$7:$P$506,0))))</f>
        <v/>
      </c>
      <c r="F78" s="47" t="str">
        <f>IF(A78="","",INDEX('Rent Log'!$K$7:$K$506,MATCH($C$5&amp;"|"&amp;66,'Rent Log'!$P$7:$P$506,0)))</f>
        <v/>
      </c>
      <c r="G78" s="56" t="str">
        <f t="shared" ref="G78:G109" si="2">IF(A78="","",N(G77)+C78-D78)</f>
        <v/>
      </c>
      <c r="H78" s="47" t="str">
        <f>IF(A78="","",INDEX('Rent Log'!$M$7:$M$506,MATCH($C$5&amp;"|"&amp;66,'Rent Log'!$P$7:$P$506,0))&amp;"")</f>
        <v/>
      </c>
    </row>
    <row r="79" spans="1:8" ht="16" x14ac:dyDescent="0.2">
      <c r="A79" s="47" t="str">
        <f>IF(ISNUMBER(MATCH($C$5&amp;"|"&amp;67,'Rent Log'!$P$7:$P$506,0)),67,"")</f>
        <v/>
      </c>
      <c r="B79" s="50" t="str">
        <f>IF(A79="","",INDEX('Rent Log'!$A$7:$A$506,MATCH($C$5&amp;"|"&amp;67,'Rent Log'!$P$7:$P$506,0)))</f>
        <v/>
      </c>
      <c r="C79" s="56" t="str">
        <f>IF(A79="","",IF(INDEX('Rent Log'!$K$7:$K$506,MATCH($C$5&amp;"|"&amp;67,'Rent Log'!$P$7:$P$506,0))="Vacant",0,INDEX('Rent Log'!$E$7:$E$506,MATCH($C$5&amp;"|"&amp;67,'Rent Log'!$P$7:$P$506,0))+INDEX('Rent Log'!$F$7:$F$506,MATCH($C$5&amp;"|"&amp;67,'Rent Log'!$P$7:$P$506,0))))</f>
        <v/>
      </c>
      <c r="D79" s="56" t="str">
        <f>IF(A79="","",IF(INDEX('Rent Log'!$K$7:$K$506,MATCH($C$5&amp;"|"&amp;67,'Rent Log'!$P$7:$P$506,0))="Vacant",0,INDEX('Rent Log'!$G$7:$G$506,MATCH($C$5&amp;"|"&amp;67,'Rent Log'!$P$7:$P$506,0))))</f>
        <v/>
      </c>
      <c r="E79" s="50" t="str">
        <f>IF(A79="","",IF(INDEX('Rent Log'!$H$7:$H$506,MATCH($C$5&amp;"|"&amp;67,'Rent Log'!$P$7:$P$506,0))="","",INDEX('Rent Log'!$H$7:$H$506,MATCH($C$5&amp;"|"&amp;67,'Rent Log'!$P$7:$P$506,0))))</f>
        <v/>
      </c>
      <c r="F79" s="47" t="str">
        <f>IF(A79="","",INDEX('Rent Log'!$K$7:$K$506,MATCH($C$5&amp;"|"&amp;67,'Rent Log'!$P$7:$P$506,0)))</f>
        <v/>
      </c>
      <c r="G79" s="56" t="str">
        <f t="shared" si="2"/>
        <v/>
      </c>
      <c r="H79" s="47" t="str">
        <f>IF(A79="","",INDEX('Rent Log'!$M$7:$M$506,MATCH($C$5&amp;"|"&amp;67,'Rent Log'!$P$7:$P$506,0))&amp;"")</f>
        <v/>
      </c>
    </row>
    <row r="80" spans="1:8" ht="16" x14ac:dyDescent="0.2">
      <c r="A80" s="47" t="str">
        <f>IF(ISNUMBER(MATCH($C$5&amp;"|"&amp;68,'Rent Log'!$P$7:$P$506,0)),68,"")</f>
        <v/>
      </c>
      <c r="B80" s="50" t="str">
        <f>IF(A80="","",INDEX('Rent Log'!$A$7:$A$506,MATCH($C$5&amp;"|"&amp;68,'Rent Log'!$P$7:$P$506,0)))</f>
        <v/>
      </c>
      <c r="C80" s="56" t="str">
        <f>IF(A80="","",IF(INDEX('Rent Log'!$K$7:$K$506,MATCH($C$5&amp;"|"&amp;68,'Rent Log'!$P$7:$P$506,0))="Vacant",0,INDEX('Rent Log'!$E$7:$E$506,MATCH($C$5&amp;"|"&amp;68,'Rent Log'!$P$7:$P$506,0))+INDEX('Rent Log'!$F$7:$F$506,MATCH($C$5&amp;"|"&amp;68,'Rent Log'!$P$7:$P$506,0))))</f>
        <v/>
      </c>
      <c r="D80" s="56" t="str">
        <f>IF(A80="","",IF(INDEX('Rent Log'!$K$7:$K$506,MATCH($C$5&amp;"|"&amp;68,'Rent Log'!$P$7:$P$506,0))="Vacant",0,INDEX('Rent Log'!$G$7:$G$506,MATCH($C$5&amp;"|"&amp;68,'Rent Log'!$P$7:$P$506,0))))</f>
        <v/>
      </c>
      <c r="E80" s="50" t="str">
        <f>IF(A80="","",IF(INDEX('Rent Log'!$H$7:$H$506,MATCH($C$5&amp;"|"&amp;68,'Rent Log'!$P$7:$P$506,0))="","",INDEX('Rent Log'!$H$7:$H$506,MATCH($C$5&amp;"|"&amp;68,'Rent Log'!$P$7:$P$506,0))))</f>
        <v/>
      </c>
      <c r="F80" s="47" t="str">
        <f>IF(A80="","",INDEX('Rent Log'!$K$7:$K$506,MATCH($C$5&amp;"|"&amp;68,'Rent Log'!$P$7:$P$506,0)))</f>
        <v/>
      </c>
      <c r="G80" s="56" t="str">
        <f t="shared" si="2"/>
        <v/>
      </c>
      <c r="H80" s="47" t="str">
        <f>IF(A80="","",INDEX('Rent Log'!$M$7:$M$506,MATCH($C$5&amp;"|"&amp;68,'Rent Log'!$P$7:$P$506,0))&amp;"")</f>
        <v/>
      </c>
    </row>
    <row r="81" spans="1:8" ht="16" x14ac:dyDescent="0.2">
      <c r="A81" s="47" t="str">
        <f>IF(ISNUMBER(MATCH($C$5&amp;"|"&amp;69,'Rent Log'!$P$7:$P$506,0)),69,"")</f>
        <v/>
      </c>
      <c r="B81" s="50" t="str">
        <f>IF(A81="","",INDEX('Rent Log'!$A$7:$A$506,MATCH($C$5&amp;"|"&amp;69,'Rent Log'!$P$7:$P$506,0)))</f>
        <v/>
      </c>
      <c r="C81" s="56" t="str">
        <f>IF(A81="","",IF(INDEX('Rent Log'!$K$7:$K$506,MATCH($C$5&amp;"|"&amp;69,'Rent Log'!$P$7:$P$506,0))="Vacant",0,INDEX('Rent Log'!$E$7:$E$506,MATCH($C$5&amp;"|"&amp;69,'Rent Log'!$P$7:$P$506,0))+INDEX('Rent Log'!$F$7:$F$506,MATCH($C$5&amp;"|"&amp;69,'Rent Log'!$P$7:$P$506,0))))</f>
        <v/>
      </c>
      <c r="D81" s="56" t="str">
        <f>IF(A81="","",IF(INDEX('Rent Log'!$K$7:$K$506,MATCH($C$5&amp;"|"&amp;69,'Rent Log'!$P$7:$P$506,0))="Vacant",0,INDEX('Rent Log'!$G$7:$G$506,MATCH($C$5&amp;"|"&amp;69,'Rent Log'!$P$7:$P$506,0))))</f>
        <v/>
      </c>
      <c r="E81" s="50" t="str">
        <f>IF(A81="","",IF(INDEX('Rent Log'!$H$7:$H$506,MATCH($C$5&amp;"|"&amp;69,'Rent Log'!$P$7:$P$506,0))="","",INDEX('Rent Log'!$H$7:$H$506,MATCH($C$5&amp;"|"&amp;69,'Rent Log'!$P$7:$P$506,0))))</f>
        <v/>
      </c>
      <c r="F81" s="47" t="str">
        <f>IF(A81="","",INDEX('Rent Log'!$K$7:$K$506,MATCH($C$5&amp;"|"&amp;69,'Rent Log'!$P$7:$P$506,0)))</f>
        <v/>
      </c>
      <c r="G81" s="56" t="str">
        <f t="shared" si="2"/>
        <v/>
      </c>
      <c r="H81" s="47" t="str">
        <f>IF(A81="","",INDEX('Rent Log'!$M$7:$M$506,MATCH($C$5&amp;"|"&amp;69,'Rent Log'!$P$7:$P$506,0))&amp;"")</f>
        <v/>
      </c>
    </row>
    <row r="82" spans="1:8" ht="16" x14ac:dyDescent="0.2">
      <c r="A82" s="47" t="str">
        <f>IF(ISNUMBER(MATCH($C$5&amp;"|"&amp;70,'Rent Log'!$P$7:$P$506,0)),70,"")</f>
        <v/>
      </c>
      <c r="B82" s="50" t="str">
        <f>IF(A82="","",INDEX('Rent Log'!$A$7:$A$506,MATCH($C$5&amp;"|"&amp;70,'Rent Log'!$P$7:$P$506,0)))</f>
        <v/>
      </c>
      <c r="C82" s="56" t="str">
        <f>IF(A82="","",IF(INDEX('Rent Log'!$K$7:$K$506,MATCH($C$5&amp;"|"&amp;70,'Rent Log'!$P$7:$P$506,0))="Vacant",0,INDEX('Rent Log'!$E$7:$E$506,MATCH($C$5&amp;"|"&amp;70,'Rent Log'!$P$7:$P$506,0))+INDEX('Rent Log'!$F$7:$F$506,MATCH($C$5&amp;"|"&amp;70,'Rent Log'!$P$7:$P$506,0))))</f>
        <v/>
      </c>
      <c r="D82" s="56" t="str">
        <f>IF(A82="","",IF(INDEX('Rent Log'!$K$7:$K$506,MATCH($C$5&amp;"|"&amp;70,'Rent Log'!$P$7:$P$506,0))="Vacant",0,INDEX('Rent Log'!$G$7:$G$506,MATCH($C$5&amp;"|"&amp;70,'Rent Log'!$P$7:$P$506,0))))</f>
        <v/>
      </c>
      <c r="E82" s="50" t="str">
        <f>IF(A82="","",IF(INDEX('Rent Log'!$H$7:$H$506,MATCH($C$5&amp;"|"&amp;70,'Rent Log'!$P$7:$P$506,0))="","",INDEX('Rent Log'!$H$7:$H$506,MATCH($C$5&amp;"|"&amp;70,'Rent Log'!$P$7:$P$506,0))))</f>
        <v/>
      </c>
      <c r="F82" s="47" t="str">
        <f>IF(A82="","",INDEX('Rent Log'!$K$7:$K$506,MATCH($C$5&amp;"|"&amp;70,'Rent Log'!$P$7:$P$506,0)))</f>
        <v/>
      </c>
      <c r="G82" s="56" t="str">
        <f t="shared" si="2"/>
        <v/>
      </c>
      <c r="H82" s="47" t="str">
        <f>IF(A82="","",INDEX('Rent Log'!$M$7:$M$506,MATCH($C$5&amp;"|"&amp;70,'Rent Log'!$P$7:$P$506,0))&amp;"")</f>
        <v/>
      </c>
    </row>
    <row r="83" spans="1:8" ht="16" x14ac:dyDescent="0.2">
      <c r="A83" s="47" t="str">
        <f>IF(ISNUMBER(MATCH($C$5&amp;"|"&amp;71,'Rent Log'!$P$7:$P$506,0)),71,"")</f>
        <v/>
      </c>
      <c r="B83" s="50" t="str">
        <f>IF(A83="","",INDEX('Rent Log'!$A$7:$A$506,MATCH($C$5&amp;"|"&amp;71,'Rent Log'!$P$7:$P$506,0)))</f>
        <v/>
      </c>
      <c r="C83" s="56" t="str">
        <f>IF(A83="","",IF(INDEX('Rent Log'!$K$7:$K$506,MATCH($C$5&amp;"|"&amp;71,'Rent Log'!$P$7:$P$506,0))="Vacant",0,INDEX('Rent Log'!$E$7:$E$506,MATCH($C$5&amp;"|"&amp;71,'Rent Log'!$P$7:$P$506,0))+INDEX('Rent Log'!$F$7:$F$506,MATCH($C$5&amp;"|"&amp;71,'Rent Log'!$P$7:$P$506,0))))</f>
        <v/>
      </c>
      <c r="D83" s="56" t="str">
        <f>IF(A83="","",IF(INDEX('Rent Log'!$K$7:$K$506,MATCH($C$5&amp;"|"&amp;71,'Rent Log'!$P$7:$P$506,0))="Vacant",0,INDEX('Rent Log'!$G$7:$G$506,MATCH($C$5&amp;"|"&amp;71,'Rent Log'!$P$7:$P$506,0))))</f>
        <v/>
      </c>
      <c r="E83" s="50" t="str">
        <f>IF(A83="","",IF(INDEX('Rent Log'!$H$7:$H$506,MATCH($C$5&amp;"|"&amp;71,'Rent Log'!$P$7:$P$506,0))="","",INDEX('Rent Log'!$H$7:$H$506,MATCH($C$5&amp;"|"&amp;71,'Rent Log'!$P$7:$P$506,0))))</f>
        <v/>
      </c>
      <c r="F83" s="47" t="str">
        <f>IF(A83="","",INDEX('Rent Log'!$K$7:$K$506,MATCH($C$5&amp;"|"&amp;71,'Rent Log'!$P$7:$P$506,0)))</f>
        <v/>
      </c>
      <c r="G83" s="56" t="str">
        <f t="shared" si="2"/>
        <v/>
      </c>
      <c r="H83" s="47" t="str">
        <f>IF(A83="","",INDEX('Rent Log'!$M$7:$M$506,MATCH($C$5&amp;"|"&amp;71,'Rent Log'!$P$7:$P$506,0))&amp;"")</f>
        <v/>
      </c>
    </row>
    <row r="84" spans="1:8" ht="16" x14ac:dyDescent="0.2">
      <c r="A84" s="47" t="str">
        <f>IF(ISNUMBER(MATCH($C$5&amp;"|"&amp;72,'Rent Log'!$P$7:$P$506,0)),72,"")</f>
        <v/>
      </c>
      <c r="B84" s="50" t="str">
        <f>IF(A84="","",INDEX('Rent Log'!$A$7:$A$506,MATCH($C$5&amp;"|"&amp;72,'Rent Log'!$P$7:$P$506,0)))</f>
        <v/>
      </c>
      <c r="C84" s="56" t="str">
        <f>IF(A84="","",IF(INDEX('Rent Log'!$K$7:$K$506,MATCH($C$5&amp;"|"&amp;72,'Rent Log'!$P$7:$P$506,0))="Vacant",0,INDEX('Rent Log'!$E$7:$E$506,MATCH($C$5&amp;"|"&amp;72,'Rent Log'!$P$7:$P$506,0))+INDEX('Rent Log'!$F$7:$F$506,MATCH($C$5&amp;"|"&amp;72,'Rent Log'!$P$7:$P$506,0))))</f>
        <v/>
      </c>
      <c r="D84" s="56" t="str">
        <f>IF(A84="","",IF(INDEX('Rent Log'!$K$7:$K$506,MATCH($C$5&amp;"|"&amp;72,'Rent Log'!$P$7:$P$506,0))="Vacant",0,INDEX('Rent Log'!$G$7:$G$506,MATCH($C$5&amp;"|"&amp;72,'Rent Log'!$P$7:$P$506,0))))</f>
        <v/>
      </c>
      <c r="E84" s="50" t="str">
        <f>IF(A84="","",IF(INDEX('Rent Log'!$H$7:$H$506,MATCH($C$5&amp;"|"&amp;72,'Rent Log'!$P$7:$P$506,0))="","",INDEX('Rent Log'!$H$7:$H$506,MATCH($C$5&amp;"|"&amp;72,'Rent Log'!$P$7:$P$506,0))))</f>
        <v/>
      </c>
      <c r="F84" s="47" t="str">
        <f>IF(A84="","",INDEX('Rent Log'!$K$7:$K$506,MATCH($C$5&amp;"|"&amp;72,'Rent Log'!$P$7:$P$506,0)))</f>
        <v/>
      </c>
      <c r="G84" s="56" t="str">
        <f t="shared" si="2"/>
        <v/>
      </c>
      <c r="H84" s="47" t="str">
        <f>IF(A84="","",INDEX('Rent Log'!$M$7:$M$506,MATCH($C$5&amp;"|"&amp;72,'Rent Log'!$P$7:$P$506,0))&amp;"")</f>
        <v/>
      </c>
    </row>
    <row r="85" spans="1:8" ht="16" x14ac:dyDescent="0.2">
      <c r="A85" s="47" t="str">
        <f>IF(ISNUMBER(MATCH($C$5&amp;"|"&amp;73,'Rent Log'!$P$7:$P$506,0)),73,"")</f>
        <v/>
      </c>
      <c r="B85" s="50" t="str">
        <f>IF(A85="","",INDEX('Rent Log'!$A$7:$A$506,MATCH($C$5&amp;"|"&amp;73,'Rent Log'!$P$7:$P$506,0)))</f>
        <v/>
      </c>
      <c r="C85" s="56" t="str">
        <f>IF(A85="","",IF(INDEX('Rent Log'!$K$7:$K$506,MATCH($C$5&amp;"|"&amp;73,'Rent Log'!$P$7:$P$506,0))="Vacant",0,INDEX('Rent Log'!$E$7:$E$506,MATCH($C$5&amp;"|"&amp;73,'Rent Log'!$P$7:$P$506,0))+INDEX('Rent Log'!$F$7:$F$506,MATCH($C$5&amp;"|"&amp;73,'Rent Log'!$P$7:$P$506,0))))</f>
        <v/>
      </c>
      <c r="D85" s="56" t="str">
        <f>IF(A85="","",IF(INDEX('Rent Log'!$K$7:$K$506,MATCH($C$5&amp;"|"&amp;73,'Rent Log'!$P$7:$P$506,0))="Vacant",0,INDEX('Rent Log'!$G$7:$G$506,MATCH($C$5&amp;"|"&amp;73,'Rent Log'!$P$7:$P$506,0))))</f>
        <v/>
      </c>
      <c r="E85" s="50" t="str">
        <f>IF(A85="","",IF(INDEX('Rent Log'!$H$7:$H$506,MATCH($C$5&amp;"|"&amp;73,'Rent Log'!$P$7:$P$506,0))="","",INDEX('Rent Log'!$H$7:$H$506,MATCH($C$5&amp;"|"&amp;73,'Rent Log'!$P$7:$P$506,0))))</f>
        <v/>
      </c>
      <c r="F85" s="47" t="str">
        <f>IF(A85="","",INDEX('Rent Log'!$K$7:$K$506,MATCH($C$5&amp;"|"&amp;73,'Rent Log'!$P$7:$P$506,0)))</f>
        <v/>
      </c>
      <c r="G85" s="56" t="str">
        <f t="shared" si="2"/>
        <v/>
      </c>
      <c r="H85" s="47" t="str">
        <f>IF(A85="","",INDEX('Rent Log'!$M$7:$M$506,MATCH($C$5&amp;"|"&amp;73,'Rent Log'!$P$7:$P$506,0))&amp;"")</f>
        <v/>
      </c>
    </row>
    <row r="86" spans="1:8" ht="16" x14ac:dyDescent="0.2">
      <c r="A86" s="47" t="str">
        <f>IF(ISNUMBER(MATCH($C$5&amp;"|"&amp;74,'Rent Log'!$P$7:$P$506,0)),74,"")</f>
        <v/>
      </c>
      <c r="B86" s="50" t="str">
        <f>IF(A86="","",INDEX('Rent Log'!$A$7:$A$506,MATCH($C$5&amp;"|"&amp;74,'Rent Log'!$P$7:$P$506,0)))</f>
        <v/>
      </c>
      <c r="C86" s="56" t="str">
        <f>IF(A86="","",IF(INDEX('Rent Log'!$K$7:$K$506,MATCH($C$5&amp;"|"&amp;74,'Rent Log'!$P$7:$P$506,0))="Vacant",0,INDEX('Rent Log'!$E$7:$E$506,MATCH($C$5&amp;"|"&amp;74,'Rent Log'!$P$7:$P$506,0))+INDEX('Rent Log'!$F$7:$F$506,MATCH($C$5&amp;"|"&amp;74,'Rent Log'!$P$7:$P$506,0))))</f>
        <v/>
      </c>
      <c r="D86" s="56" t="str">
        <f>IF(A86="","",IF(INDEX('Rent Log'!$K$7:$K$506,MATCH($C$5&amp;"|"&amp;74,'Rent Log'!$P$7:$P$506,0))="Vacant",0,INDEX('Rent Log'!$G$7:$G$506,MATCH($C$5&amp;"|"&amp;74,'Rent Log'!$P$7:$P$506,0))))</f>
        <v/>
      </c>
      <c r="E86" s="50" t="str">
        <f>IF(A86="","",IF(INDEX('Rent Log'!$H$7:$H$506,MATCH($C$5&amp;"|"&amp;74,'Rent Log'!$P$7:$P$506,0))="","",INDEX('Rent Log'!$H$7:$H$506,MATCH($C$5&amp;"|"&amp;74,'Rent Log'!$P$7:$P$506,0))))</f>
        <v/>
      </c>
      <c r="F86" s="47" t="str">
        <f>IF(A86="","",INDEX('Rent Log'!$K$7:$K$506,MATCH($C$5&amp;"|"&amp;74,'Rent Log'!$P$7:$P$506,0)))</f>
        <v/>
      </c>
      <c r="G86" s="56" t="str">
        <f t="shared" si="2"/>
        <v/>
      </c>
      <c r="H86" s="47" t="str">
        <f>IF(A86="","",INDEX('Rent Log'!$M$7:$M$506,MATCH($C$5&amp;"|"&amp;74,'Rent Log'!$P$7:$P$506,0))&amp;"")</f>
        <v/>
      </c>
    </row>
    <row r="87" spans="1:8" ht="16" x14ac:dyDescent="0.2">
      <c r="A87" s="47" t="str">
        <f>IF(ISNUMBER(MATCH($C$5&amp;"|"&amp;75,'Rent Log'!$P$7:$P$506,0)),75,"")</f>
        <v/>
      </c>
      <c r="B87" s="50" t="str">
        <f>IF(A87="","",INDEX('Rent Log'!$A$7:$A$506,MATCH($C$5&amp;"|"&amp;75,'Rent Log'!$P$7:$P$506,0)))</f>
        <v/>
      </c>
      <c r="C87" s="56" t="str">
        <f>IF(A87="","",IF(INDEX('Rent Log'!$K$7:$K$506,MATCH($C$5&amp;"|"&amp;75,'Rent Log'!$P$7:$P$506,0))="Vacant",0,INDEX('Rent Log'!$E$7:$E$506,MATCH($C$5&amp;"|"&amp;75,'Rent Log'!$P$7:$P$506,0))+INDEX('Rent Log'!$F$7:$F$506,MATCH($C$5&amp;"|"&amp;75,'Rent Log'!$P$7:$P$506,0))))</f>
        <v/>
      </c>
      <c r="D87" s="56" t="str">
        <f>IF(A87="","",IF(INDEX('Rent Log'!$K$7:$K$506,MATCH($C$5&amp;"|"&amp;75,'Rent Log'!$P$7:$P$506,0))="Vacant",0,INDEX('Rent Log'!$G$7:$G$506,MATCH($C$5&amp;"|"&amp;75,'Rent Log'!$P$7:$P$506,0))))</f>
        <v/>
      </c>
      <c r="E87" s="50" t="str">
        <f>IF(A87="","",IF(INDEX('Rent Log'!$H$7:$H$506,MATCH($C$5&amp;"|"&amp;75,'Rent Log'!$P$7:$P$506,0))="","",INDEX('Rent Log'!$H$7:$H$506,MATCH($C$5&amp;"|"&amp;75,'Rent Log'!$P$7:$P$506,0))))</f>
        <v/>
      </c>
      <c r="F87" s="47" t="str">
        <f>IF(A87="","",INDEX('Rent Log'!$K$7:$K$506,MATCH($C$5&amp;"|"&amp;75,'Rent Log'!$P$7:$P$506,0)))</f>
        <v/>
      </c>
      <c r="G87" s="56" t="str">
        <f t="shared" si="2"/>
        <v/>
      </c>
      <c r="H87" s="47" t="str">
        <f>IF(A87="","",INDEX('Rent Log'!$M$7:$M$506,MATCH($C$5&amp;"|"&amp;75,'Rent Log'!$P$7:$P$506,0))&amp;"")</f>
        <v/>
      </c>
    </row>
    <row r="88" spans="1:8" ht="16" x14ac:dyDescent="0.2">
      <c r="A88" s="47" t="str">
        <f>IF(ISNUMBER(MATCH($C$5&amp;"|"&amp;76,'Rent Log'!$P$7:$P$506,0)),76,"")</f>
        <v/>
      </c>
      <c r="B88" s="50" t="str">
        <f>IF(A88="","",INDEX('Rent Log'!$A$7:$A$506,MATCH($C$5&amp;"|"&amp;76,'Rent Log'!$P$7:$P$506,0)))</f>
        <v/>
      </c>
      <c r="C88" s="56" t="str">
        <f>IF(A88="","",IF(INDEX('Rent Log'!$K$7:$K$506,MATCH($C$5&amp;"|"&amp;76,'Rent Log'!$P$7:$P$506,0))="Vacant",0,INDEX('Rent Log'!$E$7:$E$506,MATCH($C$5&amp;"|"&amp;76,'Rent Log'!$P$7:$P$506,0))+INDEX('Rent Log'!$F$7:$F$506,MATCH($C$5&amp;"|"&amp;76,'Rent Log'!$P$7:$P$506,0))))</f>
        <v/>
      </c>
      <c r="D88" s="56" t="str">
        <f>IF(A88="","",IF(INDEX('Rent Log'!$K$7:$K$506,MATCH($C$5&amp;"|"&amp;76,'Rent Log'!$P$7:$P$506,0))="Vacant",0,INDEX('Rent Log'!$G$7:$G$506,MATCH($C$5&amp;"|"&amp;76,'Rent Log'!$P$7:$P$506,0))))</f>
        <v/>
      </c>
      <c r="E88" s="50" t="str">
        <f>IF(A88="","",IF(INDEX('Rent Log'!$H$7:$H$506,MATCH($C$5&amp;"|"&amp;76,'Rent Log'!$P$7:$P$506,0))="","",INDEX('Rent Log'!$H$7:$H$506,MATCH($C$5&amp;"|"&amp;76,'Rent Log'!$P$7:$P$506,0))))</f>
        <v/>
      </c>
      <c r="F88" s="47" t="str">
        <f>IF(A88="","",INDEX('Rent Log'!$K$7:$K$506,MATCH($C$5&amp;"|"&amp;76,'Rent Log'!$P$7:$P$506,0)))</f>
        <v/>
      </c>
      <c r="G88" s="56" t="str">
        <f t="shared" si="2"/>
        <v/>
      </c>
      <c r="H88" s="47" t="str">
        <f>IF(A88="","",INDEX('Rent Log'!$M$7:$M$506,MATCH($C$5&amp;"|"&amp;76,'Rent Log'!$P$7:$P$506,0))&amp;"")</f>
        <v/>
      </c>
    </row>
    <row r="89" spans="1:8" ht="16" x14ac:dyDescent="0.2">
      <c r="A89" s="47" t="str">
        <f>IF(ISNUMBER(MATCH($C$5&amp;"|"&amp;77,'Rent Log'!$P$7:$P$506,0)),77,"")</f>
        <v/>
      </c>
      <c r="B89" s="50" t="str">
        <f>IF(A89="","",INDEX('Rent Log'!$A$7:$A$506,MATCH($C$5&amp;"|"&amp;77,'Rent Log'!$P$7:$P$506,0)))</f>
        <v/>
      </c>
      <c r="C89" s="56" t="str">
        <f>IF(A89="","",IF(INDEX('Rent Log'!$K$7:$K$506,MATCH($C$5&amp;"|"&amp;77,'Rent Log'!$P$7:$P$506,0))="Vacant",0,INDEX('Rent Log'!$E$7:$E$506,MATCH($C$5&amp;"|"&amp;77,'Rent Log'!$P$7:$P$506,0))+INDEX('Rent Log'!$F$7:$F$506,MATCH($C$5&amp;"|"&amp;77,'Rent Log'!$P$7:$P$506,0))))</f>
        <v/>
      </c>
      <c r="D89" s="56" t="str">
        <f>IF(A89="","",IF(INDEX('Rent Log'!$K$7:$K$506,MATCH($C$5&amp;"|"&amp;77,'Rent Log'!$P$7:$P$506,0))="Vacant",0,INDEX('Rent Log'!$G$7:$G$506,MATCH($C$5&amp;"|"&amp;77,'Rent Log'!$P$7:$P$506,0))))</f>
        <v/>
      </c>
      <c r="E89" s="50" t="str">
        <f>IF(A89="","",IF(INDEX('Rent Log'!$H$7:$H$506,MATCH($C$5&amp;"|"&amp;77,'Rent Log'!$P$7:$P$506,0))="","",INDEX('Rent Log'!$H$7:$H$506,MATCH($C$5&amp;"|"&amp;77,'Rent Log'!$P$7:$P$506,0))))</f>
        <v/>
      </c>
      <c r="F89" s="47" t="str">
        <f>IF(A89="","",INDEX('Rent Log'!$K$7:$K$506,MATCH($C$5&amp;"|"&amp;77,'Rent Log'!$P$7:$P$506,0)))</f>
        <v/>
      </c>
      <c r="G89" s="56" t="str">
        <f t="shared" si="2"/>
        <v/>
      </c>
      <c r="H89" s="47" t="str">
        <f>IF(A89="","",INDEX('Rent Log'!$M$7:$M$506,MATCH($C$5&amp;"|"&amp;77,'Rent Log'!$P$7:$P$506,0))&amp;"")</f>
        <v/>
      </c>
    </row>
    <row r="90" spans="1:8" ht="16" x14ac:dyDescent="0.2">
      <c r="A90" s="47" t="str">
        <f>IF(ISNUMBER(MATCH($C$5&amp;"|"&amp;78,'Rent Log'!$P$7:$P$506,0)),78,"")</f>
        <v/>
      </c>
      <c r="B90" s="50" t="str">
        <f>IF(A90="","",INDEX('Rent Log'!$A$7:$A$506,MATCH($C$5&amp;"|"&amp;78,'Rent Log'!$P$7:$P$506,0)))</f>
        <v/>
      </c>
      <c r="C90" s="56" t="str">
        <f>IF(A90="","",IF(INDEX('Rent Log'!$K$7:$K$506,MATCH($C$5&amp;"|"&amp;78,'Rent Log'!$P$7:$P$506,0))="Vacant",0,INDEX('Rent Log'!$E$7:$E$506,MATCH($C$5&amp;"|"&amp;78,'Rent Log'!$P$7:$P$506,0))+INDEX('Rent Log'!$F$7:$F$506,MATCH($C$5&amp;"|"&amp;78,'Rent Log'!$P$7:$P$506,0))))</f>
        <v/>
      </c>
      <c r="D90" s="56" t="str">
        <f>IF(A90="","",IF(INDEX('Rent Log'!$K$7:$K$506,MATCH($C$5&amp;"|"&amp;78,'Rent Log'!$P$7:$P$506,0))="Vacant",0,INDEX('Rent Log'!$G$7:$G$506,MATCH($C$5&amp;"|"&amp;78,'Rent Log'!$P$7:$P$506,0))))</f>
        <v/>
      </c>
      <c r="E90" s="50" t="str">
        <f>IF(A90="","",IF(INDEX('Rent Log'!$H$7:$H$506,MATCH($C$5&amp;"|"&amp;78,'Rent Log'!$P$7:$P$506,0))="","",INDEX('Rent Log'!$H$7:$H$506,MATCH($C$5&amp;"|"&amp;78,'Rent Log'!$P$7:$P$506,0))))</f>
        <v/>
      </c>
      <c r="F90" s="47" t="str">
        <f>IF(A90="","",INDEX('Rent Log'!$K$7:$K$506,MATCH($C$5&amp;"|"&amp;78,'Rent Log'!$P$7:$P$506,0)))</f>
        <v/>
      </c>
      <c r="G90" s="56" t="str">
        <f t="shared" si="2"/>
        <v/>
      </c>
      <c r="H90" s="47" t="str">
        <f>IF(A90="","",INDEX('Rent Log'!$M$7:$M$506,MATCH($C$5&amp;"|"&amp;78,'Rent Log'!$P$7:$P$506,0))&amp;"")</f>
        <v/>
      </c>
    </row>
    <row r="91" spans="1:8" ht="16" x14ac:dyDescent="0.2">
      <c r="A91" s="47" t="str">
        <f>IF(ISNUMBER(MATCH($C$5&amp;"|"&amp;79,'Rent Log'!$P$7:$P$506,0)),79,"")</f>
        <v/>
      </c>
      <c r="B91" s="50" t="str">
        <f>IF(A91="","",INDEX('Rent Log'!$A$7:$A$506,MATCH($C$5&amp;"|"&amp;79,'Rent Log'!$P$7:$P$506,0)))</f>
        <v/>
      </c>
      <c r="C91" s="56" t="str">
        <f>IF(A91="","",IF(INDEX('Rent Log'!$K$7:$K$506,MATCH($C$5&amp;"|"&amp;79,'Rent Log'!$P$7:$P$506,0))="Vacant",0,INDEX('Rent Log'!$E$7:$E$506,MATCH($C$5&amp;"|"&amp;79,'Rent Log'!$P$7:$P$506,0))+INDEX('Rent Log'!$F$7:$F$506,MATCH($C$5&amp;"|"&amp;79,'Rent Log'!$P$7:$P$506,0))))</f>
        <v/>
      </c>
      <c r="D91" s="56" t="str">
        <f>IF(A91="","",IF(INDEX('Rent Log'!$K$7:$K$506,MATCH($C$5&amp;"|"&amp;79,'Rent Log'!$P$7:$P$506,0))="Vacant",0,INDEX('Rent Log'!$G$7:$G$506,MATCH($C$5&amp;"|"&amp;79,'Rent Log'!$P$7:$P$506,0))))</f>
        <v/>
      </c>
      <c r="E91" s="50" t="str">
        <f>IF(A91="","",IF(INDEX('Rent Log'!$H$7:$H$506,MATCH($C$5&amp;"|"&amp;79,'Rent Log'!$P$7:$P$506,0))="","",INDEX('Rent Log'!$H$7:$H$506,MATCH($C$5&amp;"|"&amp;79,'Rent Log'!$P$7:$P$506,0))))</f>
        <v/>
      </c>
      <c r="F91" s="47" t="str">
        <f>IF(A91="","",INDEX('Rent Log'!$K$7:$K$506,MATCH($C$5&amp;"|"&amp;79,'Rent Log'!$P$7:$P$506,0)))</f>
        <v/>
      </c>
      <c r="G91" s="56" t="str">
        <f t="shared" si="2"/>
        <v/>
      </c>
      <c r="H91" s="47" t="str">
        <f>IF(A91="","",INDEX('Rent Log'!$M$7:$M$506,MATCH($C$5&amp;"|"&amp;79,'Rent Log'!$P$7:$P$506,0))&amp;"")</f>
        <v/>
      </c>
    </row>
    <row r="92" spans="1:8" ht="16" x14ac:dyDescent="0.2">
      <c r="A92" s="47" t="str">
        <f>IF(ISNUMBER(MATCH($C$5&amp;"|"&amp;80,'Rent Log'!$P$7:$P$506,0)),80,"")</f>
        <v/>
      </c>
      <c r="B92" s="50" t="str">
        <f>IF(A92="","",INDEX('Rent Log'!$A$7:$A$506,MATCH($C$5&amp;"|"&amp;80,'Rent Log'!$P$7:$P$506,0)))</f>
        <v/>
      </c>
      <c r="C92" s="56" t="str">
        <f>IF(A92="","",IF(INDEX('Rent Log'!$K$7:$K$506,MATCH($C$5&amp;"|"&amp;80,'Rent Log'!$P$7:$P$506,0))="Vacant",0,INDEX('Rent Log'!$E$7:$E$506,MATCH($C$5&amp;"|"&amp;80,'Rent Log'!$P$7:$P$506,0))+INDEX('Rent Log'!$F$7:$F$506,MATCH($C$5&amp;"|"&amp;80,'Rent Log'!$P$7:$P$506,0))))</f>
        <v/>
      </c>
      <c r="D92" s="56" t="str">
        <f>IF(A92="","",IF(INDEX('Rent Log'!$K$7:$K$506,MATCH($C$5&amp;"|"&amp;80,'Rent Log'!$P$7:$P$506,0))="Vacant",0,INDEX('Rent Log'!$G$7:$G$506,MATCH($C$5&amp;"|"&amp;80,'Rent Log'!$P$7:$P$506,0))))</f>
        <v/>
      </c>
      <c r="E92" s="50" t="str">
        <f>IF(A92="","",IF(INDEX('Rent Log'!$H$7:$H$506,MATCH($C$5&amp;"|"&amp;80,'Rent Log'!$P$7:$P$506,0))="","",INDEX('Rent Log'!$H$7:$H$506,MATCH($C$5&amp;"|"&amp;80,'Rent Log'!$P$7:$P$506,0))))</f>
        <v/>
      </c>
      <c r="F92" s="47" t="str">
        <f>IF(A92="","",INDEX('Rent Log'!$K$7:$K$506,MATCH($C$5&amp;"|"&amp;80,'Rent Log'!$P$7:$P$506,0)))</f>
        <v/>
      </c>
      <c r="G92" s="56" t="str">
        <f t="shared" si="2"/>
        <v/>
      </c>
      <c r="H92" s="47" t="str">
        <f>IF(A92="","",INDEX('Rent Log'!$M$7:$M$506,MATCH($C$5&amp;"|"&amp;80,'Rent Log'!$P$7:$P$506,0))&amp;"")</f>
        <v/>
      </c>
    </row>
    <row r="93" spans="1:8" ht="16" x14ac:dyDescent="0.2">
      <c r="A93" s="47" t="str">
        <f>IF(ISNUMBER(MATCH($C$5&amp;"|"&amp;81,'Rent Log'!$P$7:$P$506,0)),81,"")</f>
        <v/>
      </c>
      <c r="B93" s="50" t="str">
        <f>IF(A93="","",INDEX('Rent Log'!$A$7:$A$506,MATCH($C$5&amp;"|"&amp;81,'Rent Log'!$P$7:$P$506,0)))</f>
        <v/>
      </c>
      <c r="C93" s="56" t="str">
        <f>IF(A93="","",IF(INDEX('Rent Log'!$K$7:$K$506,MATCH($C$5&amp;"|"&amp;81,'Rent Log'!$P$7:$P$506,0))="Vacant",0,INDEX('Rent Log'!$E$7:$E$506,MATCH($C$5&amp;"|"&amp;81,'Rent Log'!$P$7:$P$506,0))+INDEX('Rent Log'!$F$7:$F$506,MATCH($C$5&amp;"|"&amp;81,'Rent Log'!$P$7:$P$506,0))))</f>
        <v/>
      </c>
      <c r="D93" s="56" t="str">
        <f>IF(A93="","",IF(INDEX('Rent Log'!$K$7:$K$506,MATCH($C$5&amp;"|"&amp;81,'Rent Log'!$P$7:$P$506,0))="Vacant",0,INDEX('Rent Log'!$G$7:$G$506,MATCH($C$5&amp;"|"&amp;81,'Rent Log'!$P$7:$P$506,0))))</f>
        <v/>
      </c>
      <c r="E93" s="50" t="str">
        <f>IF(A93="","",IF(INDEX('Rent Log'!$H$7:$H$506,MATCH($C$5&amp;"|"&amp;81,'Rent Log'!$P$7:$P$506,0))="","",INDEX('Rent Log'!$H$7:$H$506,MATCH($C$5&amp;"|"&amp;81,'Rent Log'!$P$7:$P$506,0))))</f>
        <v/>
      </c>
      <c r="F93" s="47" t="str">
        <f>IF(A93="","",INDEX('Rent Log'!$K$7:$K$506,MATCH($C$5&amp;"|"&amp;81,'Rent Log'!$P$7:$P$506,0)))</f>
        <v/>
      </c>
      <c r="G93" s="56" t="str">
        <f t="shared" si="2"/>
        <v/>
      </c>
      <c r="H93" s="47" t="str">
        <f>IF(A93="","",INDEX('Rent Log'!$M$7:$M$506,MATCH($C$5&amp;"|"&amp;81,'Rent Log'!$P$7:$P$506,0))&amp;"")</f>
        <v/>
      </c>
    </row>
    <row r="94" spans="1:8" ht="16" x14ac:dyDescent="0.2">
      <c r="A94" s="47" t="str">
        <f>IF(ISNUMBER(MATCH($C$5&amp;"|"&amp;82,'Rent Log'!$P$7:$P$506,0)),82,"")</f>
        <v/>
      </c>
      <c r="B94" s="50" t="str">
        <f>IF(A94="","",INDEX('Rent Log'!$A$7:$A$506,MATCH($C$5&amp;"|"&amp;82,'Rent Log'!$P$7:$P$506,0)))</f>
        <v/>
      </c>
      <c r="C94" s="56" t="str">
        <f>IF(A94="","",IF(INDEX('Rent Log'!$K$7:$K$506,MATCH($C$5&amp;"|"&amp;82,'Rent Log'!$P$7:$P$506,0))="Vacant",0,INDEX('Rent Log'!$E$7:$E$506,MATCH($C$5&amp;"|"&amp;82,'Rent Log'!$P$7:$P$506,0))+INDEX('Rent Log'!$F$7:$F$506,MATCH($C$5&amp;"|"&amp;82,'Rent Log'!$P$7:$P$506,0))))</f>
        <v/>
      </c>
      <c r="D94" s="56" t="str">
        <f>IF(A94="","",IF(INDEX('Rent Log'!$K$7:$K$506,MATCH($C$5&amp;"|"&amp;82,'Rent Log'!$P$7:$P$506,0))="Vacant",0,INDEX('Rent Log'!$G$7:$G$506,MATCH($C$5&amp;"|"&amp;82,'Rent Log'!$P$7:$P$506,0))))</f>
        <v/>
      </c>
      <c r="E94" s="50" t="str">
        <f>IF(A94="","",IF(INDEX('Rent Log'!$H$7:$H$506,MATCH($C$5&amp;"|"&amp;82,'Rent Log'!$P$7:$P$506,0))="","",INDEX('Rent Log'!$H$7:$H$506,MATCH($C$5&amp;"|"&amp;82,'Rent Log'!$P$7:$P$506,0))))</f>
        <v/>
      </c>
      <c r="F94" s="47" t="str">
        <f>IF(A94="","",INDEX('Rent Log'!$K$7:$K$506,MATCH($C$5&amp;"|"&amp;82,'Rent Log'!$P$7:$P$506,0)))</f>
        <v/>
      </c>
      <c r="G94" s="56" t="str">
        <f t="shared" si="2"/>
        <v/>
      </c>
      <c r="H94" s="47" t="str">
        <f>IF(A94="","",INDEX('Rent Log'!$M$7:$M$506,MATCH($C$5&amp;"|"&amp;82,'Rent Log'!$P$7:$P$506,0))&amp;"")</f>
        <v/>
      </c>
    </row>
    <row r="95" spans="1:8" ht="16" x14ac:dyDescent="0.2">
      <c r="A95" s="47" t="str">
        <f>IF(ISNUMBER(MATCH($C$5&amp;"|"&amp;83,'Rent Log'!$P$7:$P$506,0)),83,"")</f>
        <v/>
      </c>
      <c r="B95" s="50" t="str">
        <f>IF(A95="","",INDEX('Rent Log'!$A$7:$A$506,MATCH($C$5&amp;"|"&amp;83,'Rent Log'!$P$7:$P$506,0)))</f>
        <v/>
      </c>
      <c r="C95" s="56" t="str">
        <f>IF(A95="","",IF(INDEX('Rent Log'!$K$7:$K$506,MATCH($C$5&amp;"|"&amp;83,'Rent Log'!$P$7:$P$506,0))="Vacant",0,INDEX('Rent Log'!$E$7:$E$506,MATCH($C$5&amp;"|"&amp;83,'Rent Log'!$P$7:$P$506,0))+INDEX('Rent Log'!$F$7:$F$506,MATCH($C$5&amp;"|"&amp;83,'Rent Log'!$P$7:$P$506,0))))</f>
        <v/>
      </c>
      <c r="D95" s="56" t="str">
        <f>IF(A95="","",IF(INDEX('Rent Log'!$K$7:$K$506,MATCH($C$5&amp;"|"&amp;83,'Rent Log'!$P$7:$P$506,0))="Vacant",0,INDEX('Rent Log'!$G$7:$G$506,MATCH($C$5&amp;"|"&amp;83,'Rent Log'!$P$7:$P$506,0))))</f>
        <v/>
      </c>
      <c r="E95" s="50" t="str">
        <f>IF(A95="","",IF(INDEX('Rent Log'!$H$7:$H$506,MATCH($C$5&amp;"|"&amp;83,'Rent Log'!$P$7:$P$506,0))="","",INDEX('Rent Log'!$H$7:$H$506,MATCH($C$5&amp;"|"&amp;83,'Rent Log'!$P$7:$P$506,0))))</f>
        <v/>
      </c>
      <c r="F95" s="47" t="str">
        <f>IF(A95="","",INDEX('Rent Log'!$K$7:$K$506,MATCH($C$5&amp;"|"&amp;83,'Rent Log'!$P$7:$P$506,0)))</f>
        <v/>
      </c>
      <c r="G95" s="56" t="str">
        <f t="shared" si="2"/>
        <v/>
      </c>
      <c r="H95" s="47" t="str">
        <f>IF(A95="","",INDEX('Rent Log'!$M$7:$M$506,MATCH($C$5&amp;"|"&amp;83,'Rent Log'!$P$7:$P$506,0))&amp;"")</f>
        <v/>
      </c>
    </row>
    <row r="96" spans="1:8" ht="16" x14ac:dyDescent="0.2">
      <c r="A96" s="47" t="str">
        <f>IF(ISNUMBER(MATCH($C$5&amp;"|"&amp;84,'Rent Log'!$P$7:$P$506,0)),84,"")</f>
        <v/>
      </c>
      <c r="B96" s="50" t="str">
        <f>IF(A96="","",INDEX('Rent Log'!$A$7:$A$506,MATCH($C$5&amp;"|"&amp;84,'Rent Log'!$P$7:$P$506,0)))</f>
        <v/>
      </c>
      <c r="C96" s="56" t="str">
        <f>IF(A96="","",IF(INDEX('Rent Log'!$K$7:$K$506,MATCH($C$5&amp;"|"&amp;84,'Rent Log'!$P$7:$P$506,0))="Vacant",0,INDEX('Rent Log'!$E$7:$E$506,MATCH($C$5&amp;"|"&amp;84,'Rent Log'!$P$7:$P$506,0))+INDEX('Rent Log'!$F$7:$F$506,MATCH($C$5&amp;"|"&amp;84,'Rent Log'!$P$7:$P$506,0))))</f>
        <v/>
      </c>
      <c r="D96" s="56" t="str">
        <f>IF(A96="","",IF(INDEX('Rent Log'!$K$7:$K$506,MATCH($C$5&amp;"|"&amp;84,'Rent Log'!$P$7:$P$506,0))="Vacant",0,INDEX('Rent Log'!$G$7:$G$506,MATCH($C$5&amp;"|"&amp;84,'Rent Log'!$P$7:$P$506,0))))</f>
        <v/>
      </c>
      <c r="E96" s="50" t="str">
        <f>IF(A96="","",IF(INDEX('Rent Log'!$H$7:$H$506,MATCH($C$5&amp;"|"&amp;84,'Rent Log'!$P$7:$P$506,0))="","",INDEX('Rent Log'!$H$7:$H$506,MATCH($C$5&amp;"|"&amp;84,'Rent Log'!$P$7:$P$506,0))))</f>
        <v/>
      </c>
      <c r="F96" s="47" t="str">
        <f>IF(A96="","",INDEX('Rent Log'!$K$7:$K$506,MATCH($C$5&amp;"|"&amp;84,'Rent Log'!$P$7:$P$506,0)))</f>
        <v/>
      </c>
      <c r="G96" s="56" t="str">
        <f t="shared" si="2"/>
        <v/>
      </c>
      <c r="H96" s="47" t="str">
        <f>IF(A96="","",INDEX('Rent Log'!$M$7:$M$506,MATCH($C$5&amp;"|"&amp;84,'Rent Log'!$P$7:$P$506,0))&amp;"")</f>
        <v/>
      </c>
    </row>
    <row r="97" spans="1:8" ht="16" x14ac:dyDescent="0.2">
      <c r="A97" s="47" t="str">
        <f>IF(ISNUMBER(MATCH($C$5&amp;"|"&amp;85,'Rent Log'!$P$7:$P$506,0)),85,"")</f>
        <v/>
      </c>
      <c r="B97" s="50" t="str">
        <f>IF(A97="","",INDEX('Rent Log'!$A$7:$A$506,MATCH($C$5&amp;"|"&amp;85,'Rent Log'!$P$7:$P$506,0)))</f>
        <v/>
      </c>
      <c r="C97" s="56" t="str">
        <f>IF(A97="","",IF(INDEX('Rent Log'!$K$7:$K$506,MATCH($C$5&amp;"|"&amp;85,'Rent Log'!$P$7:$P$506,0))="Vacant",0,INDEX('Rent Log'!$E$7:$E$506,MATCH($C$5&amp;"|"&amp;85,'Rent Log'!$P$7:$P$506,0))+INDEX('Rent Log'!$F$7:$F$506,MATCH($C$5&amp;"|"&amp;85,'Rent Log'!$P$7:$P$506,0))))</f>
        <v/>
      </c>
      <c r="D97" s="56" t="str">
        <f>IF(A97="","",IF(INDEX('Rent Log'!$K$7:$K$506,MATCH($C$5&amp;"|"&amp;85,'Rent Log'!$P$7:$P$506,0))="Vacant",0,INDEX('Rent Log'!$G$7:$G$506,MATCH($C$5&amp;"|"&amp;85,'Rent Log'!$P$7:$P$506,0))))</f>
        <v/>
      </c>
      <c r="E97" s="50" t="str">
        <f>IF(A97="","",IF(INDEX('Rent Log'!$H$7:$H$506,MATCH($C$5&amp;"|"&amp;85,'Rent Log'!$P$7:$P$506,0))="","",INDEX('Rent Log'!$H$7:$H$506,MATCH($C$5&amp;"|"&amp;85,'Rent Log'!$P$7:$P$506,0))))</f>
        <v/>
      </c>
      <c r="F97" s="47" t="str">
        <f>IF(A97="","",INDEX('Rent Log'!$K$7:$K$506,MATCH($C$5&amp;"|"&amp;85,'Rent Log'!$P$7:$P$506,0)))</f>
        <v/>
      </c>
      <c r="G97" s="56" t="str">
        <f t="shared" si="2"/>
        <v/>
      </c>
      <c r="H97" s="47" t="str">
        <f>IF(A97="","",INDEX('Rent Log'!$M$7:$M$506,MATCH($C$5&amp;"|"&amp;85,'Rent Log'!$P$7:$P$506,0))&amp;"")</f>
        <v/>
      </c>
    </row>
    <row r="98" spans="1:8" ht="16" x14ac:dyDescent="0.2">
      <c r="A98" s="47" t="str">
        <f>IF(ISNUMBER(MATCH($C$5&amp;"|"&amp;86,'Rent Log'!$P$7:$P$506,0)),86,"")</f>
        <v/>
      </c>
      <c r="B98" s="50" t="str">
        <f>IF(A98="","",INDEX('Rent Log'!$A$7:$A$506,MATCH($C$5&amp;"|"&amp;86,'Rent Log'!$P$7:$P$506,0)))</f>
        <v/>
      </c>
      <c r="C98" s="56" t="str">
        <f>IF(A98="","",IF(INDEX('Rent Log'!$K$7:$K$506,MATCH($C$5&amp;"|"&amp;86,'Rent Log'!$P$7:$P$506,0))="Vacant",0,INDEX('Rent Log'!$E$7:$E$506,MATCH($C$5&amp;"|"&amp;86,'Rent Log'!$P$7:$P$506,0))+INDEX('Rent Log'!$F$7:$F$506,MATCH($C$5&amp;"|"&amp;86,'Rent Log'!$P$7:$P$506,0))))</f>
        <v/>
      </c>
      <c r="D98" s="56" t="str">
        <f>IF(A98="","",IF(INDEX('Rent Log'!$K$7:$K$506,MATCH($C$5&amp;"|"&amp;86,'Rent Log'!$P$7:$P$506,0))="Vacant",0,INDEX('Rent Log'!$G$7:$G$506,MATCH($C$5&amp;"|"&amp;86,'Rent Log'!$P$7:$P$506,0))))</f>
        <v/>
      </c>
      <c r="E98" s="50" t="str">
        <f>IF(A98="","",IF(INDEX('Rent Log'!$H$7:$H$506,MATCH($C$5&amp;"|"&amp;86,'Rent Log'!$P$7:$P$506,0))="","",INDEX('Rent Log'!$H$7:$H$506,MATCH($C$5&amp;"|"&amp;86,'Rent Log'!$P$7:$P$506,0))))</f>
        <v/>
      </c>
      <c r="F98" s="47" t="str">
        <f>IF(A98="","",INDEX('Rent Log'!$K$7:$K$506,MATCH($C$5&amp;"|"&amp;86,'Rent Log'!$P$7:$P$506,0)))</f>
        <v/>
      </c>
      <c r="G98" s="56" t="str">
        <f t="shared" si="2"/>
        <v/>
      </c>
      <c r="H98" s="47" t="str">
        <f>IF(A98="","",INDEX('Rent Log'!$M$7:$M$506,MATCH($C$5&amp;"|"&amp;86,'Rent Log'!$P$7:$P$506,0))&amp;"")</f>
        <v/>
      </c>
    </row>
    <row r="99" spans="1:8" ht="16" x14ac:dyDescent="0.2">
      <c r="A99" s="47" t="str">
        <f>IF(ISNUMBER(MATCH($C$5&amp;"|"&amp;87,'Rent Log'!$P$7:$P$506,0)),87,"")</f>
        <v/>
      </c>
      <c r="B99" s="50" t="str">
        <f>IF(A99="","",INDEX('Rent Log'!$A$7:$A$506,MATCH($C$5&amp;"|"&amp;87,'Rent Log'!$P$7:$P$506,0)))</f>
        <v/>
      </c>
      <c r="C99" s="56" t="str">
        <f>IF(A99="","",IF(INDEX('Rent Log'!$K$7:$K$506,MATCH($C$5&amp;"|"&amp;87,'Rent Log'!$P$7:$P$506,0))="Vacant",0,INDEX('Rent Log'!$E$7:$E$506,MATCH($C$5&amp;"|"&amp;87,'Rent Log'!$P$7:$P$506,0))+INDEX('Rent Log'!$F$7:$F$506,MATCH($C$5&amp;"|"&amp;87,'Rent Log'!$P$7:$P$506,0))))</f>
        <v/>
      </c>
      <c r="D99" s="56" t="str">
        <f>IF(A99="","",IF(INDEX('Rent Log'!$K$7:$K$506,MATCH($C$5&amp;"|"&amp;87,'Rent Log'!$P$7:$P$506,0))="Vacant",0,INDEX('Rent Log'!$G$7:$G$506,MATCH($C$5&amp;"|"&amp;87,'Rent Log'!$P$7:$P$506,0))))</f>
        <v/>
      </c>
      <c r="E99" s="50" t="str">
        <f>IF(A99="","",IF(INDEX('Rent Log'!$H$7:$H$506,MATCH($C$5&amp;"|"&amp;87,'Rent Log'!$P$7:$P$506,0))="","",INDEX('Rent Log'!$H$7:$H$506,MATCH($C$5&amp;"|"&amp;87,'Rent Log'!$P$7:$P$506,0))))</f>
        <v/>
      </c>
      <c r="F99" s="47" t="str">
        <f>IF(A99="","",INDEX('Rent Log'!$K$7:$K$506,MATCH($C$5&amp;"|"&amp;87,'Rent Log'!$P$7:$P$506,0)))</f>
        <v/>
      </c>
      <c r="G99" s="56" t="str">
        <f t="shared" si="2"/>
        <v/>
      </c>
      <c r="H99" s="47" t="str">
        <f>IF(A99="","",INDEX('Rent Log'!$M$7:$M$506,MATCH($C$5&amp;"|"&amp;87,'Rent Log'!$P$7:$P$506,0))&amp;"")</f>
        <v/>
      </c>
    </row>
    <row r="100" spans="1:8" ht="16" x14ac:dyDescent="0.2">
      <c r="A100" s="47" t="str">
        <f>IF(ISNUMBER(MATCH($C$5&amp;"|"&amp;88,'Rent Log'!$P$7:$P$506,0)),88,"")</f>
        <v/>
      </c>
      <c r="B100" s="50" t="str">
        <f>IF(A100="","",INDEX('Rent Log'!$A$7:$A$506,MATCH($C$5&amp;"|"&amp;88,'Rent Log'!$P$7:$P$506,0)))</f>
        <v/>
      </c>
      <c r="C100" s="56" t="str">
        <f>IF(A100="","",IF(INDEX('Rent Log'!$K$7:$K$506,MATCH($C$5&amp;"|"&amp;88,'Rent Log'!$P$7:$P$506,0))="Vacant",0,INDEX('Rent Log'!$E$7:$E$506,MATCH($C$5&amp;"|"&amp;88,'Rent Log'!$P$7:$P$506,0))+INDEX('Rent Log'!$F$7:$F$506,MATCH($C$5&amp;"|"&amp;88,'Rent Log'!$P$7:$P$506,0))))</f>
        <v/>
      </c>
      <c r="D100" s="56" t="str">
        <f>IF(A100="","",IF(INDEX('Rent Log'!$K$7:$K$506,MATCH($C$5&amp;"|"&amp;88,'Rent Log'!$P$7:$P$506,0))="Vacant",0,INDEX('Rent Log'!$G$7:$G$506,MATCH($C$5&amp;"|"&amp;88,'Rent Log'!$P$7:$P$506,0))))</f>
        <v/>
      </c>
      <c r="E100" s="50" t="str">
        <f>IF(A100="","",IF(INDEX('Rent Log'!$H$7:$H$506,MATCH($C$5&amp;"|"&amp;88,'Rent Log'!$P$7:$P$506,0))="","",INDEX('Rent Log'!$H$7:$H$506,MATCH($C$5&amp;"|"&amp;88,'Rent Log'!$P$7:$P$506,0))))</f>
        <v/>
      </c>
      <c r="F100" s="47" t="str">
        <f>IF(A100="","",INDEX('Rent Log'!$K$7:$K$506,MATCH($C$5&amp;"|"&amp;88,'Rent Log'!$P$7:$P$506,0)))</f>
        <v/>
      </c>
      <c r="G100" s="56" t="str">
        <f t="shared" si="2"/>
        <v/>
      </c>
      <c r="H100" s="47" t="str">
        <f>IF(A100="","",INDEX('Rent Log'!$M$7:$M$506,MATCH($C$5&amp;"|"&amp;88,'Rent Log'!$P$7:$P$506,0))&amp;"")</f>
        <v/>
      </c>
    </row>
    <row r="101" spans="1:8" ht="16" x14ac:dyDescent="0.2">
      <c r="A101" s="47" t="str">
        <f>IF(ISNUMBER(MATCH($C$5&amp;"|"&amp;89,'Rent Log'!$P$7:$P$506,0)),89,"")</f>
        <v/>
      </c>
      <c r="B101" s="50" t="str">
        <f>IF(A101="","",INDEX('Rent Log'!$A$7:$A$506,MATCH($C$5&amp;"|"&amp;89,'Rent Log'!$P$7:$P$506,0)))</f>
        <v/>
      </c>
      <c r="C101" s="56" t="str">
        <f>IF(A101="","",IF(INDEX('Rent Log'!$K$7:$K$506,MATCH($C$5&amp;"|"&amp;89,'Rent Log'!$P$7:$P$506,0))="Vacant",0,INDEX('Rent Log'!$E$7:$E$506,MATCH($C$5&amp;"|"&amp;89,'Rent Log'!$P$7:$P$506,0))+INDEX('Rent Log'!$F$7:$F$506,MATCH($C$5&amp;"|"&amp;89,'Rent Log'!$P$7:$P$506,0))))</f>
        <v/>
      </c>
      <c r="D101" s="56" t="str">
        <f>IF(A101="","",IF(INDEX('Rent Log'!$K$7:$K$506,MATCH($C$5&amp;"|"&amp;89,'Rent Log'!$P$7:$P$506,0))="Vacant",0,INDEX('Rent Log'!$G$7:$G$506,MATCH($C$5&amp;"|"&amp;89,'Rent Log'!$P$7:$P$506,0))))</f>
        <v/>
      </c>
      <c r="E101" s="50" t="str">
        <f>IF(A101="","",IF(INDEX('Rent Log'!$H$7:$H$506,MATCH($C$5&amp;"|"&amp;89,'Rent Log'!$P$7:$P$506,0))="","",INDEX('Rent Log'!$H$7:$H$506,MATCH($C$5&amp;"|"&amp;89,'Rent Log'!$P$7:$P$506,0))))</f>
        <v/>
      </c>
      <c r="F101" s="47" t="str">
        <f>IF(A101="","",INDEX('Rent Log'!$K$7:$K$506,MATCH($C$5&amp;"|"&amp;89,'Rent Log'!$P$7:$P$506,0)))</f>
        <v/>
      </c>
      <c r="G101" s="56" t="str">
        <f t="shared" si="2"/>
        <v/>
      </c>
      <c r="H101" s="47" t="str">
        <f>IF(A101="","",INDEX('Rent Log'!$M$7:$M$506,MATCH($C$5&amp;"|"&amp;89,'Rent Log'!$P$7:$P$506,0))&amp;"")</f>
        <v/>
      </c>
    </row>
    <row r="102" spans="1:8" ht="16" x14ac:dyDescent="0.2">
      <c r="A102" s="47" t="str">
        <f>IF(ISNUMBER(MATCH($C$5&amp;"|"&amp;90,'Rent Log'!$P$7:$P$506,0)),90,"")</f>
        <v/>
      </c>
      <c r="B102" s="50" t="str">
        <f>IF(A102="","",INDEX('Rent Log'!$A$7:$A$506,MATCH($C$5&amp;"|"&amp;90,'Rent Log'!$P$7:$P$506,0)))</f>
        <v/>
      </c>
      <c r="C102" s="56" t="str">
        <f>IF(A102="","",IF(INDEX('Rent Log'!$K$7:$K$506,MATCH($C$5&amp;"|"&amp;90,'Rent Log'!$P$7:$P$506,0))="Vacant",0,INDEX('Rent Log'!$E$7:$E$506,MATCH($C$5&amp;"|"&amp;90,'Rent Log'!$P$7:$P$506,0))+INDEX('Rent Log'!$F$7:$F$506,MATCH($C$5&amp;"|"&amp;90,'Rent Log'!$P$7:$P$506,0))))</f>
        <v/>
      </c>
      <c r="D102" s="56" t="str">
        <f>IF(A102="","",IF(INDEX('Rent Log'!$K$7:$K$506,MATCH($C$5&amp;"|"&amp;90,'Rent Log'!$P$7:$P$506,0))="Vacant",0,INDEX('Rent Log'!$G$7:$G$506,MATCH($C$5&amp;"|"&amp;90,'Rent Log'!$P$7:$P$506,0))))</f>
        <v/>
      </c>
      <c r="E102" s="50" t="str">
        <f>IF(A102="","",IF(INDEX('Rent Log'!$H$7:$H$506,MATCH($C$5&amp;"|"&amp;90,'Rent Log'!$P$7:$P$506,0))="","",INDEX('Rent Log'!$H$7:$H$506,MATCH($C$5&amp;"|"&amp;90,'Rent Log'!$P$7:$P$506,0))))</f>
        <v/>
      </c>
      <c r="F102" s="47" t="str">
        <f>IF(A102="","",INDEX('Rent Log'!$K$7:$K$506,MATCH($C$5&amp;"|"&amp;90,'Rent Log'!$P$7:$P$506,0)))</f>
        <v/>
      </c>
      <c r="G102" s="56" t="str">
        <f t="shared" si="2"/>
        <v/>
      </c>
      <c r="H102" s="47" t="str">
        <f>IF(A102="","",INDEX('Rent Log'!$M$7:$M$506,MATCH($C$5&amp;"|"&amp;90,'Rent Log'!$P$7:$P$506,0))&amp;"")</f>
        <v/>
      </c>
    </row>
    <row r="103" spans="1:8" ht="16" x14ac:dyDescent="0.2">
      <c r="A103" s="47" t="str">
        <f>IF(ISNUMBER(MATCH($C$5&amp;"|"&amp;91,'Rent Log'!$P$7:$P$506,0)),91,"")</f>
        <v/>
      </c>
      <c r="B103" s="50" t="str">
        <f>IF(A103="","",INDEX('Rent Log'!$A$7:$A$506,MATCH($C$5&amp;"|"&amp;91,'Rent Log'!$P$7:$P$506,0)))</f>
        <v/>
      </c>
      <c r="C103" s="56" t="str">
        <f>IF(A103="","",IF(INDEX('Rent Log'!$K$7:$K$506,MATCH($C$5&amp;"|"&amp;91,'Rent Log'!$P$7:$P$506,0))="Vacant",0,INDEX('Rent Log'!$E$7:$E$506,MATCH($C$5&amp;"|"&amp;91,'Rent Log'!$P$7:$P$506,0))+INDEX('Rent Log'!$F$7:$F$506,MATCH($C$5&amp;"|"&amp;91,'Rent Log'!$P$7:$P$506,0))))</f>
        <v/>
      </c>
      <c r="D103" s="56" t="str">
        <f>IF(A103="","",IF(INDEX('Rent Log'!$K$7:$K$506,MATCH($C$5&amp;"|"&amp;91,'Rent Log'!$P$7:$P$506,0))="Vacant",0,INDEX('Rent Log'!$G$7:$G$506,MATCH($C$5&amp;"|"&amp;91,'Rent Log'!$P$7:$P$506,0))))</f>
        <v/>
      </c>
      <c r="E103" s="50" t="str">
        <f>IF(A103="","",IF(INDEX('Rent Log'!$H$7:$H$506,MATCH($C$5&amp;"|"&amp;91,'Rent Log'!$P$7:$P$506,0))="","",INDEX('Rent Log'!$H$7:$H$506,MATCH($C$5&amp;"|"&amp;91,'Rent Log'!$P$7:$P$506,0))))</f>
        <v/>
      </c>
      <c r="F103" s="47" t="str">
        <f>IF(A103="","",INDEX('Rent Log'!$K$7:$K$506,MATCH($C$5&amp;"|"&amp;91,'Rent Log'!$P$7:$P$506,0)))</f>
        <v/>
      </c>
      <c r="G103" s="56" t="str">
        <f t="shared" si="2"/>
        <v/>
      </c>
      <c r="H103" s="47" t="str">
        <f>IF(A103="","",INDEX('Rent Log'!$M$7:$M$506,MATCH($C$5&amp;"|"&amp;91,'Rent Log'!$P$7:$P$506,0))&amp;"")</f>
        <v/>
      </c>
    </row>
    <row r="104" spans="1:8" ht="16" x14ac:dyDescent="0.2">
      <c r="A104" s="47" t="str">
        <f>IF(ISNUMBER(MATCH($C$5&amp;"|"&amp;92,'Rent Log'!$P$7:$P$506,0)),92,"")</f>
        <v/>
      </c>
      <c r="B104" s="50" t="str">
        <f>IF(A104="","",INDEX('Rent Log'!$A$7:$A$506,MATCH($C$5&amp;"|"&amp;92,'Rent Log'!$P$7:$P$506,0)))</f>
        <v/>
      </c>
      <c r="C104" s="56" t="str">
        <f>IF(A104="","",IF(INDEX('Rent Log'!$K$7:$K$506,MATCH($C$5&amp;"|"&amp;92,'Rent Log'!$P$7:$P$506,0))="Vacant",0,INDEX('Rent Log'!$E$7:$E$506,MATCH($C$5&amp;"|"&amp;92,'Rent Log'!$P$7:$P$506,0))+INDEX('Rent Log'!$F$7:$F$506,MATCH($C$5&amp;"|"&amp;92,'Rent Log'!$P$7:$P$506,0))))</f>
        <v/>
      </c>
      <c r="D104" s="56" t="str">
        <f>IF(A104="","",IF(INDEX('Rent Log'!$K$7:$K$506,MATCH($C$5&amp;"|"&amp;92,'Rent Log'!$P$7:$P$506,0))="Vacant",0,INDEX('Rent Log'!$G$7:$G$506,MATCH($C$5&amp;"|"&amp;92,'Rent Log'!$P$7:$P$506,0))))</f>
        <v/>
      </c>
      <c r="E104" s="50" t="str">
        <f>IF(A104="","",IF(INDEX('Rent Log'!$H$7:$H$506,MATCH($C$5&amp;"|"&amp;92,'Rent Log'!$P$7:$P$506,0))="","",INDEX('Rent Log'!$H$7:$H$506,MATCH($C$5&amp;"|"&amp;92,'Rent Log'!$P$7:$P$506,0))))</f>
        <v/>
      </c>
      <c r="F104" s="47" t="str">
        <f>IF(A104="","",INDEX('Rent Log'!$K$7:$K$506,MATCH($C$5&amp;"|"&amp;92,'Rent Log'!$P$7:$P$506,0)))</f>
        <v/>
      </c>
      <c r="G104" s="56" t="str">
        <f t="shared" si="2"/>
        <v/>
      </c>
      <c r="H104" s="47" t="str">
        <f>IF(A104="","",INDEX('Rent Log'!$M$7:$M$506,MATCH($C$5&amp;"|"&amp;92,'Rent Log'!$P$7:$P$506,0))&amp;"")</f>
        <v/>
      </c>
    </row>
    <row r="105" spans="1:8" ht="16" x14ac:dyDescent="0.2">
      <c r="A105" s="47" t="str">
        <f>IF(ISNUMBER(MATCH($C$5&amp;"|"&amp;93,'Rent Log'!$P$7:$P$506,0)),93,"")</f>
        <v/>
      </c>
      <c r="B105" s="50" t="str">
        <f>IF(A105="","",INDEX('Rent Log'!$A$7:$A$506,MATCH($C$5&amp;"|"&amp;93,'Rent Log'!$P$7:$P$506,0)))</f>
        <v/>
      </c>
      <c r="C105" s="56" t="str">
        <f>IF(A105="","",IF(INDEX('Rent Log'!$K$7:$K$506,MATCH($C$5&amp;"|"&amp;93,'Rent Log'!$P$7:$P$506,0))="Vacant",0,INDEX('Rent Log'!$E$7:$E$506,MATCH($C$5&amp;"|"&amp;93,'Rent Log'!$P$7:$P$506,0))+INDEX('Rent Log'!$F$7:$F$506,MATCH($C$5&amp;"|"&amp;93,'Rent Log'!$P$7:$P$506,0))))</f>
        <v/>
      </c>
      <c r="D105" s="56" t="str">
        <f>IF(A105="","",IF(INDEX('Rent Log'!$K$7:$K$506,MATCH($C$5&amp;"|"&amp;93,'Rent Log'!$P$7:$P$506,0))="Vacant",0,INDEX('Rent Log'!$G$7:$G$506,MATCH($C$5&amp;"|"&amp;93,'Rent Log'!$P$7:$P$506,0))))</f>
        <v/>
      </c>
      <c r="E105" s="50" t="str">
        <f>IF(A105="","",IF(INDEX('Rent Log'!$H$7:$H$506,MATCH($C$5&amp;"|"&amp;93,'Rent Log'!$P$7:$P$506,0))="","",INDEX('Rent Log'!$H$7:$H$506,MATCH($C$5&amp;"|"&amp;93,'Rent Log'!$P$7:$P$506,0))))</f>
        <v/>
      </c>
      <c r="F105" s="47" t="str">
        <f>IF(A105="","",INDEX('Rent Log'!$K$7:$K$506,MATCH($C$5&amp;"|"&amp;93,'Rent Log'!$P$7:$P$506,0)))</f>
        <v/>
      </c>
      <c r="G105" s="56" t="str">
        <f t="shared" si="2"/>
        <v/>
      </c>
      <c r="H105" s="47" t="str">
        <f>IF(A105="","",INDEX('Rent Log'!$M$7:$M$506,MATCH($C$5&amp;"|"&amp;93,'Rent Log'!$P$7:$P$506,0))&amp;"")</f>
        <v/>
      </c>
    </row>
    <row r="106" spans="1:8" ht="16" x14ac:dyDescent="0.2">
      <c r="A106" s="47" t="str">
        <f>IF(ISNUMBER(MATCH($C$5&amp;"|"&amp;94,'Rent Log'!$P$7:$P$506,0)),94,"")</f>
        <v/>
      </c>
      <c r="B106" s="50" t="str">
        <f>IF(A106="","",INDEX('Rent Log'!$A$7:$A$506,MATCH($C$5&amp;"|"&amp;94,'Rent Log'!$P$7:$P$506,0)))</f>
        <v/>
      </c>
      <c r="C106" s="56" t="str">
        <f>IF(A106="","",IF(INDEX('Rent Log'!$K$7:$K$506,MATCH($C$5&amp;"|"&amp;94,'Rent Log'!$P$7:$P$506,0))="Vacant",0,INDEX('Rent Log'!$E$7:$E$506,MATCH($C$5&amp;"|"&amp;94,'Rent Log'!$P$7:$P$506,0))+INDEX('Rent Log'!$F$7:$F$506,MATCH($C$5&amp;"|"&amp;94,'Rent Log'!$P$7:$P$506,0))))</f>
        <v/>
      </c>
      <c r="D106" s="56" t="str">
        <f>IF(A106="","",IF(INDEX('Rent Log'!$K$7:$K$506,MATCH($C$5&amp;"|"&amp;94,'Rent Log'!$P$7:$P$506,0))="Vacant",0,INDEX('Rent Log'!$G$7:$G$506,MATCH($C$5&amp;"|"&amp;94,'Rent Log'!$P$7:$P$506,0))))</f>
        <v/>
      </c>
      <c r="E106" s="50" t="str">
        <f>IF(A106="","",IF(INDEX('Rent Log'!$H$7:$H$506,MATCH($C$5&amp;"|"&amp;94,'Rent Log'!$P$7:$P$506,0))="","",INDEX('Rent Log'!$H$7:$H$506,MATCH($C$5&amp;"|"&amp;94,'Rent Log'!$P$7:$P$506,0))))</f>
        <v/>
      </c>
      <c r="F106" s="47" t="str">
        <f>IF(A106="","",INDEX('Rent Log'!$K$7:$K$506,MATCH($C$5&amp;"|"&amp;94,'Rent Log'!$P$7:$P$506,0)))</f>
        <v/>
      </c>
      <c r="G106" s="56" t="str">
        <f t="shared" si="2"/>
        <v/>
      </c>
      <c r="H106" s="47" t="str">
        <f>IF(A106="","",INDEX('Rent Log'!$M$7:$M$506,MATCH($C$5&amp;"|"&amp;94,'Rent Log'!$P$7:$P$506,0))&amp;"")</f>
        <v/>
      </c>
    </row>
    <row r="107" spans="1:8" ht="16" x14ac:dyDescent="0.2">
      <c r="A107" s="47" t="str">
        <f>IF(ISNUMBER(MATCH($C$5&amp;"|"&amp;95,'Rent Log'!$P$7:$P$506,0)),95,"")</f>
        <v/>
      </c>
      <c r="B107" s="50" t="str">
        <f>IF(A107="","",INDEX('Rent Log'!$A$7:$A$506,MATCH($C$5&amp;"|"&amp;95,'Rent Log'!$P$7:$P$506,0)))</f>
        <v/>
      </c>
      <c r="C107" s="56" t="str">
        <f>IF(A107="","",IF(INDEX('Rent Log'!$K$7:$K$506,MATCH($C$5&amp;"|"&amp;95,'Rent Log'!$P$7:$P$506,0))="Vacant",0,INDEX('Rent Log'!$E$7:$E$506,MATCH($C$5&amp;"|"&amp;95,'Rent Log'!$P$7:$P$506,0))+INDEX('Rent Log'!$F$7:$F$506,MATCH($C$5&amp;"|"&amp;95,'Rent Log'!$P$7:$P$506,0))))</f>
        <v/>
      </c>
      <c r="D107" s="56" t="str">
        <f>IF(A107="","",IF(INDEX('Rent Log'!$K$7:$K$506,MATCH($C$5&amp;"|"&amp;95,'Rent Log'!$P$7:$P$506,0))="Vacant",0,INDEX('Rent Log'!$G$7:$G$506,MATCH($C$5&amp;"|"&amp;95,'Rent Log'!$P$7:$P$506,0))))</f>
        <v/>
      </c>
      <c r="E107" s="50" t="str">
        <f>IF(A107="","",IF(INDEX('Rent Log'!$H$7:$H$506,MATCH($C$5&amp;"|"&amp;95,'Rent Log'!$P$7:$P$506,0))="","",INDEX('Rent Log'!$H$7:$H$506,MATCH($C$5&amp;"|"&amp;95,'Rent Log'!$P$7:$P$506,0))))</f>
        <v/>
      </c>
      <c r="F107" s="47" t="str">
        <f>IF(A107="","",INDEX('Rent Log'!$K$7:$K$506,MATCH($C$5&amp;"|"&amp;95,'Rent Log'!$P$7:$P$506,0)))</f>
        <v/>
      </c>
      <c r="G107" s="56" t="str">
        <f t="shared" si="2"/>
        <v/>
      </c>
      <c r="H107" s="47" t="str">
        <f>IF(A107="","",INDEX('Rent Log'!$M$7:$M$506,MATCH($C$5&amp;"|"&amp;95,'Rent Log'!$P$7:$P$506,0))&amp;"")</f>
        <v/>
      </c>
    </row>
    <row r="108" spans="1:8" ht="16" x14ac:dyDescent="0.2">
      <c r="A108" s="47" t="str">
        <f>IF(ISNUMBER(MATCH($C$5&amp;"|"&amp;96,'Rent Log'!$P$7:$P$506,0)),96,"")</f>
        <v/>
      </c>
      <c r="B108" s="50" t="str">
        <f>IF(A108="","",INDEX('Rent Log'!$A$7:$A$506,MATCH($C$5&amp;"|"&amp;96,'Rent Log'!$P$7:$P$506,0)))</f>
        <v/>
      </c>
      <c r="C108" s="56" t="str">
        <f>IF(A108="","",IF(INDEX('Rent Log'!$K$7:$K$506,MATCH($C$5&amp;"|"&amp;96,'Rent Log'!$P$7:$P$506,0))="Vacant",0,INDEX('Rent Log'!$E$7:$E$506,MATCH($C$5&amp;"|"&amp;96,'Rent Log'!$P$7:$P$506,0))+INDEX('Rent Log'!$F$7:$F$506,MATCH($C$5&amp;"|"&amp;96,'Rent Log'!$P$7:$P$506,0))))</f>
        <v/>
      </c>
      <c r="D108" s="56" t="str">
        <f>IF(A108="","",IF(INDEX('Rent Log'!$K$7:$K$506,MATCH($C$5&amp;"|"&amp;96,'Rent Log'!$P$7:$P$506,0))="Vacant",0,INDEX('Rent Log'!$G$7:$G$506,MATCH($C$5&amp;"|"&amp;96,'Rent Log'!$P$7:$P$506,0))))</f>
        <v/>
      </c>
      <c r="E108" s="50" t="str">
        <f>IF(A108="","",IF(INDEX('Rent Log'!$H$7:$H$506,MATCH($C$5&amp;"|"&amp;96,'Rent Log'!$P$7:$P$506,0))="","",INDEX('Rent Log'!$H$7:$H$506,MATCH($C$5&amp;"|"&amp;96,'Rent Log'!$P$7:$P$506,0))))</f>
        <v/>
      </c>
      <c r="F108" s="47" t="str">
        <f>IF(A108="","",INDEX('Rent Log'!$K$7:$K$506,MATCH($C$5&amp;"|"&amp;96,'Rent Log'!$P$7:$P$506,0)))</f>
        <v/>
      </c>
      <c r="G108" s="56" t="str">
        <f t="shared" si="2"/>
        <v/>
      </c>
      <c r="H108" s="47" t="str">
        <f>IF(A108="","",INDEX('Rent Log'!$M$7:$M$506,MATCH($C$5&amp;"|"&amp;96,'Rent Log'!$P$7:$P$506,0))&amp;"")</f>
        <v/>
      </c>
    </row>
    <row r="109" spans="1:8" ht="16" x14ac:dyDescent="0.2">
      <c r="A109" s="47" t="str">
        <f>IF(ISNUMBER(MATCH($C$5&amp;"|"&amp;97,'Rent Log'!$P$7:$P$506,0)),97,"")</f>
        <v/>
      </c>
      <c r="B109" s="50" t="str">
        <f>IF(A109="","",INDEX('Rent Log'!$A$7:$A$506,MATCH($C$5&amp;"|"&amp;97,'Rent Log'!$P$7:$P$506,0)))</f>
        <v/>
      </c>
      <c r="C109" s="56" t="str">
        <f>IF(A109="","",IF(INDEX('Rent Log'!$K$7:$K$506,MATCH($C$5&amp;"|"&amp;97,'Rent Log'!$P$7:$P$506,0))="Vacant",0,INDEX('Rent Log'!$E$7:$E$506,MATCH($C$5&amp;"|"&amp;97,'Rent Log'!$P$7:$P$506,0))+INDEX('Rent Log'!$F$7:$F$506,MATCH($C$5&amp;"|"&amp;97,'Rent Log'!$P$7:$P$506,0))))</f>
        <v/>
      </c>
      <c r="D109" s="56" t="str">
        <f>IF(A109="","",IF(INDEX('Rent Log'!$K$7:$K$506,MATCH($C$5&amp;"|"&amp;97,'Rent Log'!$P$7:$P$506,0))="Vacant",0,INDEX('Rent Log'!$G$7:$G$506,MATCH($C$5&amp;"|"&amp;97,'Rent Log'!$P$7:$P$506,0))))</f>
        <v/>
      </c>
      <c r="E109" s="50" t="str">
        <f>IF(A109="","",IF(INDEX('Rent Log'!$H$7:$H$506,MATCH($C$5&amp;"|"&amp;97,'Rent Log'!$P$7:$P$506,0))="","",INDEX('Rent Log'!$H$7:$H$506,MATCH($C$5&amp;"|"&amp;97,'Rent Log'!$P$7:$P$506,0))))</f>
        <v/>
      </c>
      <c r="F109" s="47" t="str">
        <f>IF(A109="","",INDEX('Rent Log'!$K$7:$K$506,MATCH($C$5&amp;"|"&amp;97,'Rent Log'!$P$7:$P$506,0)))</f>
        <v/>
      </c>
      <c r="G109" s="56" t="str">
        <f t="shared" si="2"/>
        <v/>
      </c>
      <c r="H109" s="47" t="str">
        <f>IF(A109="","",INDEX('Rent Log'!$M$7:$M$506,MATCH($C$5&amp;"|"&amp;97,'Rent Log'!$P$7:$P$506,0))&amp;"")</f>
        <v/>
      </c>
    </row>
    <row r="110" spans="1:8" ht="16" x14ac:dyDescent="0.2">
      <c r="A110" s="47" t="str">
        <f>IF(ISNUMBER(MATCH($C$5&amp;"|"&amp;98,'Rent Log'!$P$7:$P$506,0)),98,"")</f>
        <v/>
      </c>
      <c r="B110" s="50" t="str">
        <f>IF(A110="","",INDEX('Rent Log'!$A$7:$A$506,MATCH($C$5&amp;"|"&amp;98,'Rent Log'!$P$7:$P$506,0)))</f>
        <v/>
      </c>
      <c r="C110" s="56" t="str">
        <f>IF(A110="","",IF(INDEX('Rent Log'!$K$7:$K$506,MATCH($C$5&amp;"|"&amp;98,'Rent Log'!$P$7:$P$506,0))="Vacant",0,INDEX('Rent Log'!$E$7:$E$506,MATCH($C$5&amp;"|"&amp;98,'Rent Log'!$P$7:$P$506,0))+INDEX('Rent Log'!$F$7:$F$506,MATCH($C$5&amp;"|"&amp;98,'Rent Log'!$P$7:$P$506,0))))</f>
        <v/>
      </c>
      <c r="D110" s="56" t="str">
        <f>IF(A110="","",IF(INDEX('Rent Log'!$K$7:$K$506,MATCH($C$5&amp;"|"&amp;98,'Rent Log'!$P$7:$P$506,0))="Vacant",0,INDEX('Rent Log'!$G$7:$G$506,MATCH($C$5&amp;"|"&amp;98,'Rent Log'!$P$7:$P$506,0))))</f>
        <v/>
      </c>
      <c r="E110" s="50" t="str">
        <f>IF(A110="","",IF(INDEX('Rent Log'!$H$7:$H$506,MATCH($C$5&amp;"|"&amp;98,'Rent Log'!$P$7:$P$506,0))="","",INDEX('Rent Log'!$H$7:$H$506,MATCH($C$5&amp;"|"&amp;98,'Rent Log'!$P$7:$P$506,0))))</f>
        <v/>
      </c>
      <c r="F110" s="47" t="str">
        <f>IF(A110="","",INDEX('Rent Log'!$K$7:$K$506,MATCH($C$5&amp;"|"&amp;98,'Rent Log'!$P$7:$P$506,0)))</f>
        <v/>
      </c>
      <c r="G110" s="56" t="str">
        <f t="shared" ref="G110:G132" si="3">IF(A110="","",N(G109)+C110-D110)</f>
        <v/>
      </c>
      <c r="H110" s="47" t="str">
        <f>IF(A110="","",INDEX('Rent Log'!$M$7:$M$506,MATCH($C$5&amp;"|"&amp;98,'Rent Log'!$P$7:$P$506,0))&amp;"")</f>
        <v/>
      </c>
    </row>
    <row r="111" spans="1:8" ht="16" x14ac:dyDescent="0.2">
      <c r="A111" s="47" t="str">
        <f>IF(ISNUMBER(MATCH($C$5&amp;"|"&amp;99,'Rent Log'!$P$7:$P$506,0)),99,"")</f>
        <v/>
      </c>
      <c r="B111" s="50" t="str">
        <f>IF(A111="","",INDEX('Rent Log'!$A$7:$A$506,MATCH($C$5&amp;"|"&amp;99,'Rent Log'!$P$7:$P$506,0)))</f>
        <v/>
      </c>
      <c r="C111" s="56" t="str">
        <f>IF(A111="","",IF(INDEX('Rent Log'!$K$7:$K$506,MATCH($C$5&amp;"|"&amp;99,'Rent Log'!$P$7:$P$506,0))="Vacant",0,INDEX('Rent Log'!$E$7:$E$506,MATCH($C$5&amp;"|"&amp;99,'Rent Log'!$P$7:$P$506,0))+INDEX('Rent Log'!$F$7:$F$506,MATCH($C$5&amp;"|"&amp;99,'Rent Log'!$P$7:$P$506,0))))</f>
        <v/>
      </c>
      <c r="D111" s="56" t="str">
        <f>IF(A111="","",IF(INDEX('Rent Log'!$K$7:$K$506,MATCH($C$5&amp;"|"&amp;99,'Rent Log'!$P$7:$P$506,0))="Vacant",0,INDEX('Rent Log'!$G$7:$G$506,MATCH($C$5&amp;"|"&amp;99,'Rent Log'!$P$7:$P$506,0))))</f>
        <v/>
      </c>
      <c r="E111" s="50" t="str">
        <f>IF(A111="","",IF(INDEX('Rent Log'!$H$7:$H$506,MATCH($C$5&amp;"|"&amp;99,'Rent Log'!$P$7:$P$506,0))="","",INDEX('Rent Log'!$H$7:$H$506,MATCH($C$5&amp;"|"&amp;99,'Rent Log'!$P$7:$P$506,0))))</f>
        <v/>
      </c>
      <c r="F111" s="47" t="str">
        <f>IF(A111="","",INDEX('Rent Log'!$K$7:$K$506,MATCH($C$5&amp;"|"&amp;99,'Rent Log'!$P$7:$P$506,0)))</f>
        <v/>
      </c>
      <c r="G111" s="56" t="str">
        <f t="shared" si="3"/>
        <v/>
      </c>
      <c r="H111" s="47" t="str">
        <f>IF(A111="","",INDEX('Rent Log'!$M$7:$M$506,MATCH($C$5&amp;"|"&amp;99,'Rent Log'!$P$7:$P$506,0))&amp;"")</f>
        <v/>
      </c>
    </row>
    <row r="112" spans="1:8" ht="16" x14ac:dyDescent="0.2">
      <c r="A112" s="47" t="str">
        <f>IF(ISNUMBER(MATCH($C$5&amp;"|"&amp;100,'Rent Log'!$P$7:$P$506,0)),100,"")</f>
        <v/>
      </c>
      <c r="B112" s="50" t="str">
        <f>IF(A112="","",INDEX('Rent Log'!$A$7:$A$506,MATCH($C$5&amp;"|"&amp;100,'Rent Log'!$P$7:$P$506,0)))</f>
        <v/>
      </c>
      <c r="C112" s="56" t="str">
        <f>IF(A112="","",IF(INDEX('Rent Log'!$K$7:$K$506,MATCH($C$5&amp;"|"&amp;100,'Rent Log'!$P$7:$P$506,0))="Vacant",0,INDEX('Rent Log'!$E$7:$E$506,MATCH($C$5&amp;"|"&amp;100,'Rent Log'!$P$7:$P$506,0))+INDEX('Rent Log'!$F$7:$F$506,MATCH($C$5&amp;"|"&amp;100,'Rent Log'!$P$7:$P$506,0))))</f>
        <v/>
      </c>
      <c r="D112" s="56" t="str">
        <f>IF(A112="","",IF(INDEX('Rent Log'!$K$7:$K$506,MATCH($C$5&amp;"|"&amp;100,'Rent Log'!$P$7:$P$506,0))="Vacant",0,INDEX('Rent Log'!$G$7:$G$506,MATCH($C$5&amp;"|"&amp;100,'Rent Log'!$P$7:$P$506,0))))</f>
        <v/>
      </c>
      <c r="E112" s="50" t="str">
        <f>IF(A112="","",IF(INDEX('Rent Log'!$H$7:$H$506,MATCH($C$5&amp;"|"&amp;100,'Rent Log'!$P$7:$P$506,0))="","",INDEX('Rent Log'!$H$7:$H$506,MATCH($C$5&amp;"|"&amp;100,'Rent Log'!$P$7:$P$506,0))))</f>
        <v/>
      </c>
      <c r="F112" s="47" t="str">
        <f>IF(A112="","",INDEX('Rent Log'!$K$7:$K$506,MATCH($C$5&amp;"|"&amp;100,'Rent Log'!$P$7:$P$506,0)))</f>
        <v/>
      </c>
      <c r="G112" s="56" t="str">
        <f t="shared" si="3"/>
        <v/>
      </c>
      <c r="H112" s="47" t="str">
        <f>IF(A112="","",INDEX('Rent Log'!$M$7:$M$506,MATCH($C$5&amp;"|"&amp;100,'Rent Log'!$P$7:$P$506,0))&amp;"")</f>
        <v/>
      </c>
    </row>
    <row r="113" spans="1:8" ht="16" x14ac:dyDescent="0.2">
      <c r="A113" s="47" t="str">
        <f>IF(ISNUMBER(MATCH($C$5&amp;"|"&amp;101,'Rent Log'!$P$7:$P$506,0)),101,"")</f>
        <v/>
      </c>
      <c r="B113" s="50" t="str">
        <f>IF(A113="","",INDEX('Rent Log'!$A$7:$A$506,MATCH($C$5&amp;"|"&amp;101,'Rent Log'!$P$7:$P$506,0)))</f>
        <v/>
      </c>
      <c r="C113" s="56" t="str">
        <f>IF(A113="","",IF(INDEX('Rent Log'!$K$7:$K$506,MATCH($C$5&amp;"|"&amp;101,'Rent Log'!$P$7:$P$506,0))="Vacant",0,INDEX('Rent Log'!$E$7:$E$506,MATCH($C$5&amp;"|"&amp;101,'Rent Log'!$P$7:$P$506,0))+INDEX('Rent Log'!$F$7:$F$506,MATCH($C$5&amp;"|"&amp;101,'Rent Log'!$P$7:$P$506,0))))</f>
        <v/>
      </c>
      <c r="D113" s="56" t="str">
        <f>IF(A113="","",IF(INDEX('Rent Log'!$K$7:$K$506,MATCH($C$5&amp;"|"&amp;101,'Rent Log'!$P$7:$P$506,0))="Vacant",0,INDEX('Rent Log'!$G$7:$G$506,MATCH($C$5&amp;"|"&amp;101,'Rent Log'!$P$7:$P$506,0))))</f>
        <v/>
      </c>
      <c r="E113" s="50" t="str">
        <f>IF(A113="","",IF(INDEX('Rent Log'!$H$7:$H$506,MATCH($C$5&amp;"|"&amp;101,'Rent Log'!$P$7:$P$506,0))="","",INDEX('Rent Log'!$H$7:$H$506,MATCH($C$5&amp;"|"&amp;101,'Rent Log'!$P$7:$P$506,0))))</f>
        <v/>
      </c>
      <c r="F113" s="47" t="str">
        <f>IF(A113="","",INDEX('Rent Log'!$K$7:$K$506,MATCH($C$5&amp;"|"&amp;101,'Rent Log'!$P$7:$P$506,0)))</f>
        <v/>
      </c>
      <c r="G113" s="56" t="str">
        <f t="shared" si="3"/>
        <v/>
      </c>
      <c r="H113" s="47" t="str">
        <f>IF(A113="","",INDEX('Rent Log'!$M$7:$M$506,MATCH($C$5&amp;"|"&amp;101,'Rent Log'!$P$7:$P$506,0))&amp;"")</f>
        <v/>
      </c>
    </row>
    <row r="114" spans="1:8" ht="16" x14ac:dyDescent="0.2">
      <c r="A114" s="47" t="str">
        <f>IF(ISNUMBER(MATCH($C$5&amp;"|"&amp;102,'Rent Log'!$P$7:$P$506,0)),102,"")</f>
        <v/>
      </c>
      <c r="B114" s="50" t="str">
        <f>IF(A114="","",INDEX('Rent Log'!$A$7:$A$506,MATCH($C$5&amp;"|"&amp;102,'Rent Log'!$P$7:$P$506,0)))</f>
        <v/>
      </c>
      <c r="C114" s="56" t="str">
        <f>IF(A114="","",IF(INDEX('Rent Log'!$K$7:$K$506,MATCH($C$5&amp;"|"&amp;102,'Rent Log'!$P$7:$P$506,0))="Vacant",0,INDEX('Rent Log'!$E$7:$E$506,MATCH($C$5&amp;"|"&amp;102,'Rent Log'!$P$7:$P$506,0))+INDEX('Rent Log'!$F$7:$F$506,MATCH($C$5&amp;"|"&amp;102,'Rent Log'!$P$7:$P$506,0))))</f>
        <v/>
      </c>
      <c r="D114" s="56" t="str">
        <f>IF(A114="","",IF(INDEX('Rent Log'!$K$7:$K$506,MATCH($C$5&amp;"|"&amp;102,'Rent Log'!$P$7:$P$506,0))="Vacant",0,INDEX('Rent Log'!$G$7:$G$506,MATCH($C$5&amp;"|"&amp;102,'Rent Log'!$P$7:$P$506,0))))</f>
        <v/>
      </c>
      <c r="E114" s="50" t="str">
        <f>IF(A114="","",IF(INDEX('Rent Log'!$H$7:$H$506,MATCH($C$5&amp;"|"&amp;102,'Rent Log'!$P$7:$P$506,0))="","",INDEX('Rent Log'!$H$7:$H$506,MATCH($C$5&amp;"|"&amp;102,'Rent Log'!$P$7:$P$506,0))))</f>
        <v/>
      </c>
      <c r="F114" s="47" t="str">
        <f>IF(A114="","",INDEX('Rent Log'!$K$7:$K$506,MATCH($C$5&amp;"|"&amp;102,'Rent Log'!$P$7:$P$506,0)))</f>
        <v/>
      </c>
      <c r="G114" s="56" t="str">
        <f t="shared" si="3"/>
        <v/>
      </c>
      <c r="H114" s="47" t="str">
        <f>IF(A114="","",INDEX('Rent Log'!$M$7:$M$506,MATCH($C$5&amp;"|"&amp;102,'Rent Log'!$P$7:$P$506,0))&amp;"")</f>
        <v/>
      </c>
    </row>
    <row r="115" spans="1:8" ht="16" x14ac:dyDescent="0.2">
      <c r="A115" s="47" t="str">
        <f>IF(ISNUMBER(MATCH($C$5&amp;"|"&amp;103,'Rent Log'!$P$7:$P$506,0)),103,"")</f>
        <v/>
      </c>
      <c r="B115" s="50" t="str">
        <f>IF(A115="","",INDEX('Rent Log'!$A$7:$A$506,MATCH($C$5&amp;"|"&amp;103,'Rent Log'!$P$7:$P$506,0)))</f>
        <v/>
      </c>
      <c r="C115" s="56" t="str">
        <f>IF(A115="","",IF(INDEX('Rent Log'!$K$7:$K$506,MATCH($C$5&amp;"|"&amp;103,'Rent Log'!$P$7:$P$506,0))="Vacant",0,INDEX('Rent Log'!$E$7:$E$506,MATCH($C$5&amp;"|"&amp;103,'Rent Log'!$P$7:$P$506,0))+INDEX('Rent Log'!$F$7:$F$506,MATCH($C$5&amp;"|"&amp;103,'Rent Log'!$P$7:$P$506,0))))</f>
        <v/>
      </c>
      <c r="D115" s="56" t="str">
        <f>IF(A115="","",IF(INDEX('Rent Log'!$K$7:$K$506,MATCH($C$5&amp;"|"&amp;103,'Rent Log'!$P$7:$P$506,0))="Vacant",0,INDEX('Rent Log'!$G$7:$G$506,MATCH($C$5&amp;"|"&amp;103,'Rent Log'!$P$7:$P$506,0))))</f>
        <v/>
      </c>
      <c r="E115" s="50" t="str">
        <f>IF(A115="","",IF(INDEX('Rent Log'!$H$7:$H$506,MATCH($C$5&amp;"|"&amp;103,'Rent Log'!$P$7:$P$506,0))="","",INDEX('Rent Log'!$H$7:$H$506,MATCH($C$5&amp;"|"&amp;103,'Rent Log'!$P$7:$P$506,0))))</f>
        <v/>
      </c>
      <c r="F115" s="47" t="str">
        <f>IF(A115="","",INDEX('Rent Log'!$K$7:$K$506,MATCH($C$5&amp;"|"&amp;103,'Rent Log'!$P$7:$P$506,0)))</f>
        <v/>
      </c>
      <c r="G115" s="56" t="str">
        <f t="shared" si="3"/>
        <v/>
      </c>
      <c r="H115" s="47" t="str">
        <f>IF(A115="","",INDEX('Rent Log'!$M$7:$M$506,MATCH($C$5&amp;"|"&amp;103,'Rent Log'!$P$7:$P$506,0))&amp;"")</f>
        <v/>
      </c>
    </row>
    <row r="116" spans="1:8" ht="16" x14ac:dyDescent="0.2">
      <c r="A116" s="47" t="str">
        <f>IF(ISNUMBER(MATCH($C$5&amp;"|"&amp;104,'Rent Log'!$P$7:$P$506,0)),104,"")</f>
        <v/>
      </c>
      <c r="B116" s="50" t="str">
        <f>IF(A116="","",INDEX('Rent Log'!$A$7:$A$506,MATCH($C$5&amp;"|"&amp;104,'Rent Log'!$P$7:$P$506,0)))</f>
        <v/>
      </c>
      <c r="C116" s="56" t="str">
        <f>IF(A116="","",IF(INDEX('Rent Log'!$K$7:$K$506,MATCH($C$5&amp;"|"&amp;104,'Rent Log'!$P$7:$P$506,0))="Vacant",0,INDEX('Rent Log'!$E$7:$E$506,MATCH($C$5&amp;"|"&amp;104,'Rent Log'!$P$7:$P$506,0))+INDEX('Rent Log'!$F$7:$F$506,MATCH($C$5&amp;"|"&amp;104,'Rent Log'!$P$7:$P$506,0))))</f>
        <v/>
      </c>
      <c r="D116" s="56" t="str">
        <f>IF(A116="","",IF(INDEX('Rent Log'!$K$7:$K$506,MATCH($C$5&amp;"|"&amp;104,'Rent Log'!$P$7:$P$506,0))="Vacant",0,INDEX('Rent Log'!$G$7:$G$506,MATCH($C$5&amp;"|"&amp;104,'Rent Log'!$P$7:$P$506,0))))</f>
        <v/>
      </c>
      <c r="E116" s="50" t="str">
        <f>IF(A116="","",IF(INDEX('Rent Log'!$H$7:$H$506,MATCH($C$5&amp;"|"&amp;104,'Rent Log'!$P$7:$P$506,0))="","",INDEX('Rent Log'!$H$7:$H$506,MATCH($C$5&amp;"|"&amp;104,'Rent Log'!$P$7:$P$506,0))))</f>
        <v/>
      </c>
      <c r="F116" s="47" t="str">
        <f>IF(A116="","",INDEX('Rent Log'!$K$7:$K$506,MATCH($C$5&amp;"|"&amp;104,'Rent Log'!$P$7:$P$506,0)))</f>
        <v/>
      </c>
      <c r="G116" s="56" t="str">
        <f t="shared" si="3"/>
        <v/>
      </c>
      <c r="H116" s="47" t="str">
        <f>IF(A116="","",INDEX('Rent Log'!$M$7:$M$506,MATCH($C$5&amp;"|"&amp;104,'Rent Log'!$P$7:$P$506,0))&amp;"")</f>
        <v/>
      </c>
    </row>
    <row r="117" spans="1:8" ht="16" x14ac:dyDescent="0.2">
      <c r="A117" s="47" t="str">
        <f>IF(ISNUMBER(MATCH($C$5&amp;"|"&amp;105,'Rent Log'!$P$7:$P$506,0)),105,"")</f>
        <v/>
      </c>
      <c r="B117" s="50" t="str">
        <f>IF(A117="","",INDEX('Rent Log'!$A$7:$A$506,MATCH($C$5&amp;"|"&amp;105,'Rent Log'!$P$7:$P$506,0)))</f>
        <v/>
      </c>
      <c r="C117" s="56" t="str">
        <f>IF(A117="","",IF(INDEX('Rent Log'!$K$7:$K$506,MATCH($C$5&amp;"|"&amp;105,'Rent Log'!$P$7:$P$506,0))="Vacant",0,INDEX('Rent Log'!$E$7:$E$506,MATCH($C$5&amp;"|"&amp;105,'Rent Log'!$P$7:$P$506,0))+INDEX('Rent Log'!$F$7:$F$506,MATCH($C$5&amp;"|"&amp;105,'Rent Log'!$P$7:$P$506,0))))</f>
        <v/>
      </c>
      <c r="D117" s="56" t="str">
        <f>IF(A117="","",IF(INDEX('Rent Log'!$K$7:$K$506,MATCH($C$5&amp;"|"&amp;105,'Rent Log'!$P$7:$P$506,0))="Vacant",0,INDEX('Rent Log'!$G$7:$G$506,MATCH($C$5&amp;"|"&amp;105,'Rent Log'!$P$7:$P$506,0))))</f>
        <v/>
      </c>
      <c r="E117" s="50" t="str">
        <f>IF(A117="","",IF(INDEX('Rent Log'!$H$7:$H$506,MATCH($C$5&amp;"|"&amp;105,'Rent Log'!$P$7:$P$506,0))="","",INDEX('Rent Log'!$H$7:$H$506,MATCH($C$5&amp;"|"&amp;105,'Rent Log'!$P$7:$P$506,0))))</f>
        <v/>
      </c>
      <c r="F117" s="47" t="str">
        <f>IF(A117="","",INDEX('Rent Log'!$K$7:$K$506,MATCH($C$5&amp;"|"&amp;105,'Rent Log'!$P$7:$P$506,0)))</f>
        <v/>
      </c>
      <c r="G117" s="56" t="str">
        <f t="shared" si="3"/>
        <v/>
      </c>
      <c r="H117" s="47" t="str">
        <f>IF(A117="","",INDEX('Rent Log'!$M$7:$M$506,MATCH($C$5&amp;"|"&amp;105,'Rent Log'!$P$7:$P$506,0))&amp;"")</f>
        <v/>
      </c>
    </row>
    <row r="118" spans="1:8" ht="16" x14ac:dyDescent="0.2">
      <c r="A118" s="47" t="str">
        <f>IF(ISNUMBER(MATCH($C$5&amp;"|"&amp;106,'Rent Log'!$P$7:$P$506,0)),106,"")</f>
        <v/>
      </c>
      <c r="B118" s="50" t="str">
        <f>IF(A118="","",INDEX('Rent Log'!$A$7:$A$506,MATCH($C$5&amp;"|"&amp;106,'Rent Log'!$P$7:$P$506,0)))</f>
        <v/>
      </c>
      <c r="C118" s="56" t="str">
        <f>IF(A118="","",IF(INDEX('Rent Log'!$K$7:$K$506,MATCH($C$5&amp;"|"&amp;106,'Rent Log'!$P$7:$P$506,0))="Vacant",0,INDEX('Rent Log'!$E$7:$E$506,MATCH($C$5&amp;"|"&amp;106,'Rent Log'!$P$7:$P$506,0))+INDEX('Rent Log'!$F$7:$F$506,MATCH($C$5&amp;"|"&amp;106,'Rent Log'!$P$7:$P$506,0))))</f>
        <v/>
      </c>
      <c r="D118" s="56" t="str">
        <f>IF(A118="","",IF(INDEX('Rent Log'!$K$7:$K$506,MATCH($C$5&amp;"|"&amp;106,'Rent Log'!$P$7:$P$506,0))="Vacant",0,INDEX('Rent Log'!$G$7:$G$506,MATCH($C$5&amp;"|"&amp;106,'Rent Log'!$P$7:$P$506,0))))</f>
        <v/>
      </c>
      <c r="E118" s="50" t="str">
        <f>IF(A118="","",IF(INDEX('Rent Log'!$H$7:$H$506,MATCH($C$5&amp;"|"&amp;106,'Rent Log'!$P$7:$P$506,0))="","",INDEX('Rent Log'!$H$7:$H$506,MATCH($C$5&amp;"|"&amp;106,'Rent Log'!$P$7:$P$506,0))))</f>
        <v/>
      </c>
      <c r="F118" s="47" t="str">
        <f>IF(A118="","",INDEX('Rent Log'!$K$7:$K$506,MATCH($C$5&amp;"|"&amp;106,'Rent Log'!$P$7:$P$506,0)))</f>
        <v/>
      </c>
      <c r="G118" s="56" t="str">
        <f t="shared" si="3"/>
        <v/>
      </c>
      <c r="H118" s="47" t="str">
        <f>IF(A118="","",INDEX('Rent Log'!$M$7:$M$506,MATCH($C$5&amp;"|"&amp;106,'Rent Log'!$P$7:$P$506,0))&amp;"")</f>
        <v/>
      </c>
    </row>
    <row r="119" spans="1:8" ht="16" x14ac:dyDescent="0.2">
      <c r="A119" s="47" t="str">
        <f>IF(ISNUMBER(MATCH($C$5&amp;"|"&amp;107,'Rent Log'!$P$7:$P$506,0)),107,"")</f>
        <v/>
      </c>
      <c r="B119" s="50" t="str">
        <f>IF(A119="","",INDEX('Rent Log'!$A$7:$A$506,MATCH($C$5&amp;"|"&amp;107,'Rent Log'!$P$7:$P$506,0)))</f>
        <v/>
      </c>
      <c r="C119" s="56" t="str">
        <f>IF(A119="","",IF(INDEX('Rent Log'!$K$7:$K$506,MATCH($C$5&amp;"|"&amp;107,'Rent Log'!$P$7:$P$506,0))="Vacant",0,INDEX('Rent Log'!$E$7:$E$506,MATCH($C$5&amp;"|"&amp;107,'Rent Log'!$P$7:$P$506,0))+INDEX('Rent Log'!$F$7:$F$506,MATCH($C$5&amp;"|"&amp;107,'Rent Log'!$P$7:$P$506,0))))</f>
        <v/>
      </c>
      <c r="D119" s="56" t="str">
        <f>IF(A119="","",IF(INDEX('Rent Log'!$K$7:$K$506,MATCH($C$5&amp;"|"&amp;107,'Rent Log'!$P$7:$P$506,0))="Vacant",0,INDEX('Rent Log'!$G$7:$G$506,MATCH($C$5&amp;"|"&amp;107,'Rent Log'!$P$7:$P$506,0))))</f>
        <v/>
      </c>
      <c r="E119" s="50" t="str">
        <f>IF(A119="","",IF(INDEX('Rent Log'!$H$7:$H$506,MATCH($C$5&amp;"|"&amp;107,'Rent Log'!$P$7:$P$506,0))="","",INDEX('Rent Log'!$H$7:$H$506,MATCH($C$5&amp;"|"&amp;107,'Rent Log'!$P$7:$P$506,0))))</f>
        <v/>
      </c>
      <c r="F119" s="47" t="str">
        <f>IF(A119="","",INDEX('Rent Log'!$K$7:$K$506,MATCH($C$5&amp;"|"&amp;107,'Rent Log'!$P$7:$P$506,0)))</f>
        <v/>
      </c>
      <c r="G119" s="56" t="str">
        <f t="shared" si="3"/>
        <v/>
      </c>
      <c r="H119" s="47" t="str">
        <f>IF(A119="","",INDEX('Rent Log'!$M$7:$M$506,MATCH($C$5&amp;"|"&amp;107,'Rent Log'!$P$7:$P$506,0))&amp;"")</f>
        <v/>
      </c>
    </row>
    <row r="120" spans="1:8" ht="16" x14ac:dyDescent="0.2">
      <c r="A120" s="47" t="str">
        <f>IF(ISNUMBER(MATCH($C$5&amp;"|"&amp;108,'Rent Log'!$P$7:$P$506,0)),108,"")</f>
        <v/>
      </c>
      <c r="B120" s="50" t="str">
        <f>IF(A120="","",INDEX('Rent Log'!$A$7:$A$506,MATCH($C$5&amp;"|"&amp;108,'Rent Log'!$P$7:$P$506,0)))</f>
        <v/>
      </c>
      <c r="C120" s="56" t="str">
        <f>IF(A120="","",IF(INDEX('Rent Log'!$K$7:$K$506,MATCH($C$5&amp;"|"&amp;108,'Rent Log'!$P$7:$P$506,0))="Vacant",0,INDEX('Rent Log'!$E$7:$E$506,MATCH($C$5&amp;"|"&amp;108,'Rent Log'!$P$7:$P$506,0))+INDEX('Rent Log'!$F$7:$F$506,MATCH($C$5&amp;"|"&amp;108,'Rent Log'!$P$7:$P$506,0))))</f>
        <v/>
      </c>
      <c r="D120" s="56" t="str">
        <f>IF(A120="","",IF(INDEX('Rent Log'!$K$7:$K$506,MATCH($C$5&amp;"|"&amp;108,'Rent Log'!$P$7:$P$506,0))="Vacant",0,INDEX('Rent Log'!$G$7:$G$506,MATCH($C$5&amp;"|"&amp;108,'Rent Log'!$P$7:$P$506,0))))</f>
        <v/>
      </c>
      <c r="E120" s="50" t="str">
        <f>IF(A120="","",IF(INDEX('Rent Log'!$H$7:$H$506,MATCH($C$5&amp;"|"&amp;108,'Rent Log'!$P$7:$P$506,0))="","",INDEX('Rent Log'!$H$7:$H$506,MATCH($C$5&amp;"|"&amp;108,'Rent Log'!$P$7:$P$506,0))))</f>
        <v/>
      </c>
      <c r="F120" s="47" t="str">
        <f>IF(A120="","",INDEX('Rent Log'!$K$7:$K$506,MATCH($C$5&amp;"|"&amp;108,'Rent Log'!$P$7:$P$506,0)))</f>
        <v/>
      </c>
      <c r="G120" s="56" t="str">
        <f t="shared" si="3"/>
        <v/>
      </c>
      <c r="H120" s="47" t="str">
        <f>IF(A120="","",INDEX('Rent Log'!$M$7:$M$506,MATCH($C$5&amp;"|"&amp;108,'Rent Log'!$P$7:$P$506,0))&amp;"")</f>
        <v/>
      </c>
    </row>
    <row r="121" spans="1:8" ht="16" x14ac:dyDescent="0.2">
      <c r="A121" s="47" t="str">
        <f>IF(ISNUMBER(MATCH($C$5&amp;"|"&amp;109,'Rent Log'!$P$7:$P$506,0)),109,"")</f>
        <v/>
      </c>
      <c r="B121" s="50" t="str">
        <f>IF(A121="","",INDEX('Rent Log'!$A$7:$A$506,MATCH($C$5&amp;"|"&amp;109,'Rent Log'!$P$7:$P$506,0)))</f>
        <v/>
      </c>
      <c r="C121" s="56" t="str">
        <f>IF(A121="","",IF(INDEX('Rent Log'!$K$7:$K$506,MATCH($C$5&amp;"|"&amp;109,'Rent Log'!$P$7:$P$506,0))="Vacant",0,INDEX('Rent Log'!$E$7:$E$506,MATCH($C$5&amp;"|"&amp;109,'Rent Log'!$P$7:$P$506,0))+INDEX('Rent Log'!$F$7:$F$506,MATCH($C$5&amp;"|"&amp;109,'Rent Log'!$P$7:$P$506,0))))</f>
        <v/>
      </c>
      <c r="D121" s="56" t="str">
        <f>IF(A121="","",IF(INDEX('Rent Log'!$K$7:$K$506,MATCH($C$5&amp;"|"&amp;109,'Rent Log'!$P$7:$P$506,0))="Vacant",0,INDEX('Rent Log'!$G$7:$G$506,MATCH($C$5&amp;"|"&amp;109,'Rent Log'!$P$7:$P$506,0))))</f>
        <v/>
      </c>
      <c r="E121" s="50" t="str">
        <f>IF(A121="","",IF(INDEX('Rent Log'!$H$7:$H$506,MATCH($C$5&amp;"|"&amp;109,'Rent Log'!$P$7:$P$506,0))="","",INDEX('Rent Log'!$H$7:$H$506,MATCH($C$5&amp;"|"&amp;109,'Rent Log'!$P$7:$P$506,0))))</f>
        <v/>
      </c>
      <c r="F121" s="47" t="str">
        <f>IF(A121="","",INDEX('Rent Log'!$K$7:$K$506,MATCH($C$5&amp;"|"&amp;109,'Rent Log'!$P$7:$P$506,0)))</f>
        <v/>
      </c>
      <c r="G121" s="56" t="str">
        <f t="shared" si="3"/>
        <v/>
      </c>
      <c r="H121" s="47" t="str">
        <f>IF(A121="","",INDEX('Rent Log'!$M$7:$M$506,MATCH($C$5&amp;"|"&amp;109,'Rent Log'!$P$7:$P$506,0))&amp;"")</f>
        <v/>
      </c>
    </row>
    <row r="122" spans="1:8" ht="16" x14ac:dyDescent="0.2">
      <c r="A122" s="47" t="str">
        <f>IF(ISNUMBER(MATCH($C$5&amp;"|"&amp;110,'Rent Log'!$P$7:$P$506,0)),110,"")</f>
        <v/>
      </c>
      <c r="B122" s="50" t="str">
        <f>IF(A122="","",INDEX('Rent Log'!$A$7:$A$506,MATCH($C$5&amp;"|"&amp;110,'Rent Log'!$P$7:$P$506,0)))</f>
        <v/>
      </c>
      <c r="C122" s="56" t="str">
        <f>IF(A122="","",IF(INDEX('Rent Log'!$K$7:$K$506,MATCH($C$5&amp;"|"&amp;110,'Rent Log'!$P$7:$P$506,0))="Vacant",0,INDEX('Rent Log'!$E$7:$E$506,MATCH($C$5&amp;"|"&amp;110,'Rent Log'!$P$7:$P$506,0))+INDEX('Rent Log'!$F$7:$F$506,MATCH($C$5&amp;"|"&amp;110,'Rent Log'!$P$7:$P$506,0))))</f>
        <v/>
      </c>
      <c r="D122" s="56" t="str">
        <f>IF(A122="","",IF(INDEX('Rent Log'!$K$7:$K$506,MATCH($C$5&amp;"|"&amp;110,'Rent Log'!$P$7:$P$506,0))="Vacant",0,INDEX('Rent Log'!$G$7:$G$506,MATCH($C$5&amp;"|"&amp;110,'Rent Log'!$P$7:$P$506,0))))</f>
        <v/>
      </c>
      <c r="E122" s="50" t="str">
        <f>IF(A122="","",IF(INDEX('Rent Log'!$H$7:$H$506,MATCH($C$5&amp;"|"&amp;110,'Rent Log'!$P$7:$P$506,0))="","",INDEX('Rent Log'!$H$7:$H$506,MATCH($C$5&amp;"|"&amp;110,'Rent Log'!$P$7:$P$506,0))))</f>
        <v/>
      </c>
      <c r="F122" s="47" t="str">
        <f>IF(A122="","",INDEX('Rent Log'!$K$7:$K$506,MATCH($C$5&amp;"|"&amp;110,'Rent Log'!$P$7:$P$506,0)))</f>
        <v/>
      </c>
      <c r="G122" s="56" t="str">
        <f t="shared" si="3"/>
        <v/>
      </c>
      <c r="H122" s="47" t="str">
        <f>IF(A122="","",INDEX('Rent Log'!$M$7:$M$506,MATCH($C$5&amp;"|"&amp;110,'Rent Log'!$P$7:$P$506,0))&amp;"")</f>
        <v/>
      </c>
    </row>
    <row r="123" spans="1:8" ht="16" x14ac:dyDescent="0.2">
      <c r="A123" s="47" t="str">
        <f>IF(ISNUMBER(MATCH($C$5&amp;"|"&amp;111,'Rent Log'!$P$7:$P$506,0)),111,"")</f>
        <v/>
      </c>
      <c r="B123" s="50" t="str">
        <f>IF(A123="","",INDEX('Rent Log'!$A$7:$A$506,MATCH($C$5&amp;"|"&amp;111,'Rent Log'!$P$7:$P$506,0)))</f>
        <v/>
      </c>
      <c r="C123" s="56" t="str">
        <f>IF(A123="","",IF(INDEX('Rent Log'!$K$7:$K$506,MATCH($C$5&amp;"|"&amp;111,'Rent Log'!$P$7:$P$506,0))="Vacant",0,INDEX('Rent Log'!$E$7:$E$506,MATCH($C$5&amp;"|"&amp;111,'Rent Log'!$P$7:$P$506,0))+INDEX('Rent Log'!$F$7:$F$506,MATCH($C$5&amp;"|"&amp;111,'Rent Log'!$P$7:$P$506,0))))</f>
        <v/>
      </c>
      <c r="D123" s="56" t="str">
        <f>IF(A123="","",IF(INDEX('Rent Log'!$K$7:$K$506,MATCH($C$5&amp;"|"&amp;111,'Rent Log'!$P$7:$P$506,0))="Vacant",0,INDEX('Rent Log'!$G$7:$G$506,MATCH($C$5&amp;"|"&amp;111,'Rent Log'!$P$7:$P$506,0))))</f>
        <v/>
      </c>
      <c r="E123" s="50" t="str">
        <f>IF(A123="","",IF(INDEX('Rent Log'!$H$7:$H$506,MATCH($C$5&amp;"|"&amp;111,'Rent Log'!$P$7:$P$506,0))="","",INDEX('Rent Log'!$H$7:$H$506,MATCH($C$5&amp;"|"&amp;111,'Rent Log'!$P$7:$P$506,0))))</f>
        <v/>
      </c>
      <c r="F123" s="47" t="str">
        <f>IF(A123="","",INDEX('Rent Log'!$K$7:$K$506,MATCH($C$5&amp;"|"&amp;111,'Rent Log'!$P$7:$P$506,0)))</f>
        <v/>
      </c>
      <c r="G123" s="56" t="str">
        <f t="shared" si="3"/>
        <v/>
      </c>
      <c r="H123" s="47" t="str">
        <f>IF(A123="","",INDEX('Rent Log'!$M$7:$M$506,MATCH($C$5&amp;"|"&amp;111,'Rent Log'!$P$7:$P$506,0))&amp;"")</f>
        <v/>
      </c>
    </row>
    <row r="124" spans="1:8" ht="16" x14ac:dyDescent="0.2">
      <c r="A124" s="47" t="str">
        <f>IF(ISNUMBER(MATCH($C$5&amp;"|"&amp;112,'Rent Log'!$P$7:$P$506,0)),112,"")</f>
        <v/>
      </c>
      <c r="B124" s="50" t="str">
        <f>IF(A124="","",INDEX('Rent Log'!$A$7:$A$506,MATCH($C$5&amp;"|"&amp;112,'Rent Log'!$P$7:$P$506,0)))</f>
        <v/>
      </c>
      <c r="C124" s="56" t="str">
        <f>IF(A124="","",IF(INDEX('Rent Log'!$K$7:$K$506,MATCH($C$5&amp;"|"&amp;112,'Rent Log'!$P$7:$P$506,0))="Vacant",0,INDEX('Rent Log'!$E$7:$E$506,MATCH($C$5&amp;"|"&amp;112,'Rent Log'!$P$7:$P$506,0))+INDEX('Rent Log'!$F$7:$F$506,MATCH($C$5&amp;"|"&amp;112,'Rent Log'!$P$7:$P$506,0))))</f>
        <v/>
      </c>
      <c r="D124" s="56" t="str">
        <f>IF(A124="","",IF(INDEX('Rent Log'!$K$7:$K$506,MATCH($C$5&amp;"|"&amp;112,'Rent Log'!$P$7:$P$506,0))="Vacant",0,INDEX('Rent Log'!$G$7:$G$506,MATCH($C$5&amp;"|"&amp;112,'Rent Log'!$P$7:$P$506,0))))</f>
        <v/>
      </c>
      <c r="E124" s="50" t="str">
        <f>IF(A124="","",IF(INDEX('Rent Log'!$H$7:$H$506,MATCH($C$5&amp;"|"&amp;112,'Rent Log'!$P$7:$P$506,0))="","",INDEX('Rent Log'!$H$7:$H$506,MATCH($C$5&amp;"|"&amp;112,'Rent Log'!$P$7:$P$506,0))))</f>
        <v/>
      </c>
      <c r="F124" s="47" t="str">
        <f>IF(A124="","",INDEX('Rent Log'!$K$7:$K$506,MATCH($C$5&amp;"|"&amp;112,'Rent Log'!$P$7:$P$506,0)))</f>
        <v/>
      </c>
      <c r="G124" s="56" t="str">
        <f t="shared" si="3"/>
        <v/>
      </c>
      <c r="H124" s="47" t="str">
        <f>IF(A124="","",INDEX('Rent Log'!$M$7:$M$506,MATCH($C$5&amp;"|"&amp;112,'Rent Log'!$P$7:$P$506,0))&amp;"")</f>
        <v/>
      </c>
    </row>
    <row r="125" spans="1:8" ht="16" x14ac:dyDescent="0.2">
      <c r="A125" s="47" t="str">
        <f>IF(ISNUMBER(MATCH($C$5&amp;"|"&amp;113,'Rent Log'!$P$7:$P$506,0)),113,"")</f>
        <v/>
      </c>
      <c r="B125" s="50" t="str">
        <f>IF(A125="","",INDEX('Rent Log'!$A$7:$A$506,MATCH($C$5&amp;"|"&amp;113,'Rent Log'!$P$7:$P$506,0)))</f>
        <v/>
      </c>
      <c r="C125" s="56" t="str">
        <f>IF(A125="","",IF(INDEX('Rent Log'!$K$7:$K$506,MATCH($C$5&amp;"|"&amp;113,'Rent Log'!$P$7:$P$506,0))="Vacant",0,INDEX('Rent Log'!$E$7:$E$506,MATCH($C$5&amp;"|"&amp;113,'Rent Log'!$P$7:$P$506,0))+INDEX('Rent Log'!$F$7:$F$506,MATCH($C$5&amp;"|"&amp;113,'Rent Log'!$P$7:$P$506,0))))</f>
        <v/>
      </c>
      <c r="D125" s="56" t="str">
        <f>IF(A125="","",IF(INDEX('Rent Log'!$K$7:$K$506,MATCH($C$5&amp;"|"&amp;113,'Rent Log'!$P$7:$P$506,0))="Vacant",0,INDEX('Rent Log'!$G$7:$G$506,MATCH($C$5&amp;"|"&amp;113,'Rent Log'!$P$7:$P$506,0))))</f>
        <v/>
      </c>
      <c r="E125" s="50" t="str">
        <f>IF(A125="","",IF(INDEX('Rent Log'!$H$7:$H$506,MATCH($C$5&amp;"|"&amp;113,'Rent Log'!$P$7:$P$506,0))="","",INDEX('Rent Log'!$H$7:$H$506,MATCH($C$5&amp;"|"&amp;113,'Rent Log'!$P$7:$P$506,0))))</f>
        <v/>
      </c>
      <c r="F125" s="47" t="str">
        <f>IF(A125="","",INDEX('Rent Log'!$K$7:$K$506,MATCH($C$5&amp;"|"&amp;113,'Rent Log'!$P$7:$P$506,0)))</f>
        <v/>
      </c>
      <c r="G125" s="56" t="str">
        <f t="shared" si="3"/>
        <v/>
      </c>
      <c r="H125" s="47" t="str">
        <f>IF(A125="","",INDEX('Rent Log'!$M$7:$M$506,MATCH($C$5&amp;"|"&amp;113,'Rent Log'!$P$7:$P$506,0))&amp;"")</f>
        <v/>
      </c>
    </row>
    <row r="126" spans="1:8" ht="16" x14ac:dyDescent="0.2">
      <c r="A126" s="47" t="str">
        <f>IF(ISNUMBER(MATCH($C$5&amp;"|"&amp;114,'Rent Log'!$P$7:$P$506,0)),114,"")</f>
        <v/>
      </c>
      <c r="B126" s="50" t="str">
        <f>IF(A126="","",INDEX('Rent Log'!$A$7:$A$506,MATCH($C$5&amp;"|"&amp;114,'Rent Log'!$P$7:$P$506,0)))</f>
        <v/>
      </c>
      <c r="C126" s="56" t="str">
        <f>IF(A126="","",IF(INDEX('Rent Log'!$K$7:$K$506,MATCH($C$5&amp;"|"&amp;114,'Rent Log'!$P$7:$P$506,0))="Vacant",0,INDEX('Rent Log'!$E$7:$E$506,MATCH($C$5&amp;"|"&amp;114,'Rent Log'!$P$7:$P$506,0))+INDEX('Rent Log'!$F$7:$F$506,MATCH($C$5&amp;"|"&amp;114,'Rent Log'!$P$7:$P$506,0))))</f>
        <v/>
      </c>
      <c r="D126" s="56" t="str">
        <f>IF(A126="","",IF(INDEX('Rent Log'!$K$7:$K$506,MATCH($C$5&amp;"|"&amp;114,'Rent Log'!$P$7:$P$506,0))="Vacant",0,INDEX('Rent Log'!$G$7:$G$506,MATCH($C$5&amp;"|"&amp;114,'Rent Log'!$P$7:$P$506,0))))</f>
        <v/>
      </c>
      <c r="E126" s="50" t="str">
        <f>IF(A126="","",IF(INDEX('Rent Log'!$H$7:$H$506,MATCH($C$5&amp;"|"&amp;114,'Rent Log'!$P$7:$P$506,0))="","",INDEX('Rent Log'!$H$7:$H$506,MATCH($C$5&amp;"|"&amp;114,'Rent Log'!$P$7:$P$506,0))))</f>
        <v/>
      </c>
      <c r="F126" s="47" t="str">
        <f>IF(A126="","",INDEX('Rent Log'!$K$7:$K$506,MATCH($C$5&amp;"|"&amp;114,'Rent Log'!$P$7:$P$506,0)))</f>
        <v/>
      </c>
      <c r="G126" s="56" t="str">
        <f t="shared" si="3"/>
        <v/>
      </c>
      <c r="H126" s="47" t="str">
        <f>IF(A126="","",INDEX('Rent Log'!$M$7:$M$506,MATCH($C$5&amp;"|"&amp;114,'Rent Log'!$P$7:$P$506,0))&amp;"")</f>
        <v/>
      </c>
    </row>
    <row r="127" spans="1:8" ht="16" x14ac:dyDescent="0.2">
      <c r="A127" s="47" t="str">
        <f>IF(ISNUMBER(MATCH($C$5&amp;"|"&amp;115,'Rent Log'!$P$7:$P$506,0)),115,"")</f>
        <v/>
      </c>
      <c r="B127" s="50" t="str">
        <f>IF(A127="","",INDEX('Rent Log'!$A$7:$A$506,MATCH($C$5&amp;"|"&amp;115,'Rent Log'!$P$7:$P$506,0)))</f>
        <v/>
      </c>
      <c r="C127" s="56" t="str">
        <f>IF(A127="","",IF(INDEX('Rent Log'!$K$7:$K$506,MATCH($C$5&amp;"|"&amp;115,'Rent Log'!$P$7:$P$506,0))="Vacant",0,INDEX('Rent Log'!$E$7:$E$506,MATCH($C$5&amp;"|"&amp;115,'Rent Log'!$P$7:$P$506,0))+INDEX('Rent Log'!$F$7:$F$506,MATCH($C$5&amp;"|"&amp;115,'Rent Log'!$P$7:$P$506,0))))</f>
        <v/>
      </c>
      <c r="D127" s="56" t="str">
        <f>IF(A127="","",IF(INDEX('Rent Log'!$K$7:$K$506,MATCH($C$5&amp;"|"&amp;115,'Rent Log'!$P$7:$P$506,0))="Vacant",0,INDEX('Rent Log'!$G$7:$G$506,MATCH($C$5&amp;"|"&amp;115,'Rent Log'!$P$7:$P$506,0))))</f>
        <v/>
      </c>
      <c r="E127" s="50" t="str">
        <f>IF(A127="","",IF(INDEX('Rent Log'!$H$7:$H$506,MATCH($C$5&amp;"|"&amp;115,'Rent Log'!$P$7:$P$506,0))="","",INDEX('Rent Log'!$H$7:$H$506,MATCH($C$5&amp;"|"&amp;115,'Rent Log'!$P$7:$P$506,0))))</f>
        <v/>
      </c>
      <c r="F127" s="47" t="str">
        <f>IF(A127="","",INDEX('Rent Log'!$K$7:$K$506,MATCH($C$5&amp;"|"&amp;115,'Rent Log'!$P$7:$P$506,0)))</f>
        <v/>
      </c>
      <c r="G127" s="56" t="str">
        <f t="shared" si="3"/>
        <v/>
      </c>
      <c r="H127" s="47" t="str">
        <f>IF(A127="","",INDEX('Rent Log'!$M$7:$M$506,MATCH($C$5&amp;"|"&amp;115,'Rent Log'!$P$7:$P$506,0))&amp;"")</f>
        <v/>
      </c>
    </row>
    <row r="128" spans="1:8" ht="16" x14ac:dyDescent="0.2">
      <c r="A128" s="47" t="str">
        <f>IF(ISNUMBER(MATCH($C$5&amp;"|"&amp;116,'Rent Log'!$P$7:$P$506,0)),116,"")</f>
        <v/>
      </c>
      <c r="B128" s="50" t="str">
        <f>IF(A128="","",INDEX('Rent Log'!$A$7:$A$506,MATCH($C$5&amp;"|"&amp;116,'Rent Log'!$P$7:$P$506,0)))</f>
        <v/>
      </c>
      <c r="C128" s="56" t="str">
        <f>IF(A128="","",IF(INDEX('Rent Log'!$K$7:$K$506,MATCH($C$5&amp;"|"&amp;116,'Rent Log'!$P$7:$P$506,0))="Vacant",0,INDEX('Rent Log'!$E$7:$E$506,MATCH($C$5&amp;"|"&amp;116,'Rent Log'!$P$7:$P$506,0))+INDEX('Rent Log'!$F$7:$F$506,MATCH($C$5&amp;"|"&amp;116,'Rent Log'!$P$7:$P$506,0))))</f>
        <v/>
      </c>
      <c r="D128" s="56" t="str">
        <f>IF(A128="","",IF(INDEX('Rent Log'!$K$7:$K$506,MATCH($C$5&amp;"|"&amp;116,'Rent Log'!$P$7:$P$506,0))="Vacant",0,INDEX('Rent Log'!$G$7:$G$506,MATCH($C$5&amp;"|"&amp;116,'Rent Log'!$P$7:$P$506,0))))</f>
        <v/>
      </c>
      <c r="E128" s="50" t="str">
        <f>IF(A128="","",IF(INDEX('Rent Log'!$H$7:$H$506,MATCH($C$5&amp;"|"&amp;116,'Rent Log'!$P$7:$P$506,0))="","",INDEX('Rent Log'!$H$7:$H$506,MATCH($C$5&amp;"|"&amp;116,'Rent Log'!$P$7:$P$506,0))))</f>
        <v/>
      </c>
      <c r="F128" s="47" t="str">
        <f>IF(A128="","",INDEX('Rent Log'!$K$7:$K$506,MATCH($C$5&amp;"|"&amp;116,'Rent Log'!$P$7:$P$506,0)))</f>
        <v/>
      </c>
      <c r="G128" s="56" t="str">
        <f t="shared" si="3"/>
        <v/>
      </c>
      <c r="H128" s="47" t="str">
        <f>IF(A128="","",INDEX('Rent Log'!$M$7:$M$506,MATCH($C$5&amp;"|"&amp;116,'Rent Log'!$P$7:$P$506,0))&amp;"")</f>
        <v/>
      </c>
    </row>
    <row r="129" spans="1:8" ht="16" x14ac:dyDescent="0.2">
      <c r="A129" s="47" t="str">
        <f>IF(ISNUMBER(MATCH($C$5&amp;"|"&amp;117,'Rent Log'!$P$7:$P$506,0)),117,"")</f>
        <v/>
      </c>
      <c r="B129" s="50" t="str">
        <f>IF(A129="","",INDEX('Rent Log'!$A$7:$A$506,MATCH($C$5&amp;"|"&amp;117,'Rent Log'!$P$7:$P$506,0)))</f>
        <v/>
      </c>
      <c r="C129" s="56" t="str">
        <f>IF(A129="","",IF(INDEX('Rent Log'!$K$7:$K$506,MATCH($C$5&amp;"|"&amp;117,'Rent Log'!$P$7:$P$506,0))="Vacant",0,INDEX('Rent Log'!$E$7:$E$506,MATCH($C$5&amp;"|"&amp;117,'Rent Log'!$P$7:$P$506,0))+INDEX('Rent Log'!$F$7:$F$506,MATCH($C$5&amp;"|"&amp;117,'Rent Log'!$P$7:$P$506,0))))</f>
        <v/>
      </c>
      <c r="D129" s="56" t="str">
        <f>IF(A129="","",IF(INDEX('Rent Log'!$K$7:$K$506,MATCH($C$5&amp;"|"&amp;117,'Rent Log'!$P$7:$P$506,0))="Vacant",0,INDEX('Rent Log'!$G$7:$G$506,MATCH($C$5&amp;"|"&amp;117,'Rent Log'!$P$7:$P$506,0))))</f>
        <v/>
      </c>
      <c r="E129" s="50" t="str">
        <f>IF(A129="","",IF(INDEX('Rent Log'!$H$7:$H$506,MATCH($C$5&amp;"|"&amp;117,'Rent Log'!$P$7:$P$506,0))="","",INDEX('Rent Log'!$H$7:$H$506,MATCH($C$5&amp;"|"&amp;117,'Rent Log'!$P$7:$P$506,0))))</f>
        <v/>
      </c>
      <c r="F129" s="47" t="str">
        <f>IF(A129="","",INDEX('Rent Log'!$K$7:$K$506,MATCH($C$5&amp;"|"&amp;117,'Rent Log'!$P$7:$P$506,0)))</f>
        <v/>
      </c>
      <c r="G129" s="56" t="str">
        <f t="shared" si="3"/>
        <v/>
      </c>
      <c r="H129" s="47" t="str">
        <f>IF(A129="","",INDEX('Rent Log'!$M$7:$M$506,MATCH($C$5&amp;"|"&amp;117,'Rent Log'!$P$7:$P$506,0))&amp;"")</f>
        <v/>
      </c>
    </row>
    <row r="130" spans="1:8" ht="16" x14ac:dyDescent="0.2">
      <c r="A130" s="47" t="str">
        <f>IF(ISNUMBER(MATCH($C$5&amp;"|"&amp;118,'Rent Log'!$P$7:$P$506,0)),118,"")</f>
        <v/>
      </c>
      <c r="B130" s="50" t="str">
        <f>IF(A130="","",INDEX('Rent Log'!$A$7:$A$506,MATCH($C$5&amp;"|"&amp;118,'Rent Log'!$P$7:$P$506,0)))</f>
        <v/>
      </c>
      <c r="C130" s="56" t="str">
        <f>IF(A130="","",IF(INDEX('Rent Log'!$K$7:$K$506,MATCH($C$5&amp;"|"&amp;118,'Rent Log'!$P$7:$P$506,0))="Vacant",0,INDEX('Rent Log'!$E$7:$E$506,MATCH($C$5&amp;"|"&amp;118,'Rent Log'!$P$7:$P$506,0))+INDEX('Rent Log'!$F$7:$F$506,MATCH($C$5&amp;"|"&amp;118,'Rent Log'!$P$7:$P$506,0))))</f>
        <v/>
      </c>
      <c r="D130" s="56" t="str">
        <f>IF(A130="","",IF(INDEX('Rent Log'!$K$7:$K$506,MATCH($C$5&amp;"|"&amp;118,'Rent Log'!$P$7:$P$506,0))="Vacant",0,INDEX('Rent Log'!$G$7:$G$506,MATCH($C$5&amp;"|"&amp;118,'Rent Log'!$P$7:$P$506,0))))</f>
        <v/>
      </c>
      <c r="E130" s="50" t="str">
        <f>IF(A130="","",IF(INDEX('Rent Log'!$H$7:$H$506,MATCH($C$5&amp;"|"&amp;118,'Rent Log'!$P$7:$P$506,0))="","",INDEX('Rent Log'!$H$7:$H$506,MATCH($C$5&amp;"|"&amp;118,'Rent Log'!$P$7:$P$506,0))))</f>
        <v/>
      </c>
      <c r="F130" s="47" t="str">
        <f>IF(A130="","",INDEX('Rent Log'!$K$7:$K$506,MATCH($C$5&amp;"|"&amp;118,'Rent Log'!$P$7:$P$506,0)))</f>
        <v/>
      </c>
      <c r="G130" s="56" t="str">
        <f t="shared" si="3"/>
        <v/>
      </c>
      <c r="H130" s="47" t="str">
        <f>IF(A130="","",INDEX('Rent Log'!$M$7:$M$506,MATCH($C$5&amp;"|"&amp;118,'Rent Log'!$P$7:$P$506,0))&amp;"")</f>
        <v/>
      </c>
    </row>
    <row r="131" spans="1:8" ht="16" x14ac:dyDescent="0.2">
      <c r="A131" s="47" t="str">
        <f>IF(ISNUMBER(MATCH($C$5&amp;"|"&amp;119,'Rent Log'!$P$7:$P$506,0)),119,"")</f>
        <v/>
      </c>
      <c r="B131" s="50" t="str">
        <f>IF(A131="","",INDEX('Rent Log'!$A$7:$A$506,MATCH($C$5&amp;"|"&amp;119,'Rent Log'!$P$7:$P$506,0)))</f>
        <v/>
      </c>
      <c r="C131" s="56" t="str">
        <f>IF(A131="","",IF(INDEX('Rent Log'!$K$7:$K$506,MATCH($C$5&amp;"|"&amp;119,'Rent Log'!$P$7:$P$506,0))="Vacant",0,INDEX('Rent Log'!$E$7:$E$506,MATCH($C$5&amp;"|"&amp;119,'Rent Log'!$P$7:$P$506,0))+INDEX('Rent Log'!$F$7:$F$506,MATCH($C$5&amp;"|"&amp;119,'Rent Log'!$P$7:$P$506,0))))</f>
        <v/>
      </c>
      <c r="D131" s="56" t="str">
        <f>IF(A131="","",IF(INDEX('Rent Log'!$K$7:$K$506,MATCH($C$5&amp;"|"&amp;119,'Rent Log'!$P$7:$P$506,0))="Vacant",0,INDEX('Rent Log'!$G$7:$G$506,MATCH($C$5&amp;"|"&amp;119,'Rent Log'!$P$7:$P$506,0))))</f>
        <v/>
      </c>
      <c r="E131" s="50" t="str">
        <f>IF(A131="","",IF(INDEX('Rent Log'!$H$7:$H$506,MATCH($C$5&amp;"|"&amp;119,'Rent Log'!$P$7:$P$506,0))="","",INDEX('Rent Log'!$H$7:$H$506,MATCH($C$5&amp;"|"&amp;119,'Rent Log'!$P$7:$P$506,0))))</f>
        <v/>
      </c>
      <c r="F131" s="47" t="str">
        <f>IF(A131="","",INDEX('Rent Log'!$K$7:$K$506,MATCH($C$5&amp;"|"&amp;119,'Rent Log'!$P$7:$P$506,0)))</f>
        <v/>
      </c>
      <c r="G131" s="56" t="str">
        <f t="shared" si="3"/>
        <v/>
      </c>
      <c r="H131" s="47" t="str">
        <f>IF(A131="","",INDEX('Rent Log'!$M$7:$M$506,MATCH($C$5&amp;"|"&amp;119,'Rent Log'!$P$7:$P$506,0))&amp;"")</f>
        <v/>
      </c>
    </row>
    <row r="132" spans="1:8" ht="16" x14ac:dyDescent="0.2">
      <c r="A132" s="47" t="str">
        <f>IF(ISNUMBER(MATCH($C$5&amp;"|"&amp;120,'Rent Log'!$P$7:$P$506,0)),120,"")</f>
        <v/>
      </c>
      <c r="B132" s="50" t="str">
        <f>IF(A132="","",INDEX('Rent Log'!$A$7:$A$506,MATCH($C$5&amp;"|"&amp;120,'Rent Log'!$P$7:$P$506,0)))</f>
        <v/>
      </c>
      <c r="C132" s="56" t="str">
        <f>IF(A132="","",IF(INDEX('Rent Log'!$K$7:$K$506,MATCH($C$5&amp;"|"&amp;120,'Rent Log'!$P$7:$P$506,0))="Vacant",0,INDEX('Rent Log'!$E$7:$E$506,MATCH($C$5&amp;"|"&amp;120,'Rent Log'!$P$7:$P$506,0))+INDEX('Rent Log'!$F$7:$F$506,MATCH($C$5&amp;"|"&amp;120,'Rent Log'!$P$7:$P$506,0))))</f>
        <v/>
      </c>
      <c r="D132" s="56" t="str">
        <f>IF(A132="","",IF(INDEX('Rent Log'!$K$7:$K$506,MATCH($C$5&amp;"|"&amp;120,'Rent Log'!$P$7:$P$506,0))="Vacant",0,INDEX('Rent Log'!$G$7:$G$506,MATCH($C$5&amp;"|"&amp;120,'Rent Log'!$P$7:$P$506,0))))</f>
        <v/>
      </c>
      <c r="E132" s="50" t="str">
        <f>IF(A132="","",IF(INDEX('Rent Log'!$H$7:$H$506,MATCH($C$5&amp;"|"&amp;120,'Rent Log'!$P$7:$P$506,0))="","",INDEX('Rent Log'!$H$7:$H$506,MATCH($C$5&amp;"|"&amp;120,'Rent Log'!$P$7:$P$506,0))))</f>
        <v/>
      </c>
      <c r="F132" s="47" t="str">
        <f>IF(A132="","",INDEX('Rent Log'!$K$7:$K$506,MATCH($C$5&amp;"|"&amp;120,'Rent Log'!$P$7:$P$506,0)))</f>
        <v/>
      </c>
      <c r="G132" s="56" t="str">
        <f t="shared" si="3"/>
        <v/>
      </c>
      <c r="H132" s="47" t="str">
        <f>IF(A132="","",INDEX('Rent Log'!$M$7:$M$506,MATCH($C$5&amp;"|"&amp;120,'Rent Log'!$P$7:$P$506,0))&amp;"")</f>
        <v/>
      </c>
    </row>
  </sheetData>
  <mergeCells count="6">
    <mergeCell ref="A9:B9"/>
    <mergeCell ref="A5:B5"/>
    <mergeCell ref="C5:D5"/>
    <mergeCell ref="A6:B6"/>
    <mergeCell ref="A7:B7"/>
    <mergeCell ref="A8:B8"/>
  </mergeCells>
  <conditionalFormatting sqref="F6">
    <cfRule type="cellIs" dxfId="2" priority="2" operator="greaterThan">
      <formula>0</formula>
    </cfRule>
  </conditionalFormatting>
  <conditionalFormatting sqref="G13:G132">
    <cfRule type="cellIs" dxfId="1" priority="3" operator="greaterThan">
      <formula>0</formula>
    </cfRule>
  </conditionalFormatting>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Pick from the list" error="Please choose a value from the dropdown." prompt="Pick the unit you want a ledger for" xr:uid="{00000000-0002-0000-0600-000000000000}">
          <x14:formula1>
            <xm:f>Tenants!$A$6:$A$35</xm:f>
          </x14:formula1>
          <x14:formula2>
            <xm:f>0</xm:f>
          </x14:formula2>
          <xm:sqref>C5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06"/>
  <sheetViews>
    <sheetView showGridLines="0" zoomScaleNormal="100" workbookViewId="0">
      <pane xSplit="1" ySplit="6" topLeftCell="B7" activePane="bottomRight" state="frozen"/>
      <selection pane="topRight" activeCell="B1" sqref="B1"/>
      <selection pane="bottomLeft" activeCell="A7" sqref="A7"/>
      <selection pane="bottomRight"/>
    </sheetView>
  </sheetViews>
  <sheetFormatPr baseColWidth="10" defaultColWidth="8.6640625" defaultRowHeight="15" x14ac:dyDescent="0.2"/>
  <cols>
    <col min="1" max="1" width="12.6640625" customWidth="1"/>
    <col min="2" max="2" width="25" customWidth="1"/>
    <col min="3" max="3" width="40" customWidth="1"/>
    <col min="4" max="4" width="34" customWidth="1"/>
    <col min="5" max="5" width="12.6640625" customWidth="1"/>
    <col min="6" max="6" width="22" customWidth="1"/>
    <col min="7" max="7" width="11.5" customWidth="1"/>
    <col min="8" max="8" width="16" customWidth="1"/>
    <col min="9" max="9" width="8" customWidth="1"/>
    <col min="10" max="10" width="10.33203125" customWidth="1"/>
  </cols>
  <sheetData>
    <row r="1" spans="1:10" ht="30" customHeight="1" x14ac:dyDescent="0.25">
      <c r="A1" s="21" t="s">
        <v>24</v>
      </c>
    </row>
    <row r="2" spans="1:10" ht="16" x14ac:dyDescent="0.2">
      <c r="A2" s="22" t="s">
        <v>178</v>
      </c>
    </row>
    <row r="3" spans="1:10" x14ac:dyDescent="0.2">
      <c r="A3" s="23" t="s">
        <v>1</v>
      </c>
    </row>
    <row r="4" spans="1:10" x14ac:dyDescent="0.2">
      <c r="A4" s="25" t="s">
        <v>179</v>
      </c>
    </row>
    <row r="5" spans="1:10" x14ac:dyDescent="0.2">
      <c r="A5" s="25" t="s">
        <v>180</v>
      </c>
    </row>
    <row r="6" spans="1:10" ht="48" customHeight="1" x14ac:dyDescent="0.2">
      <c r="A6" s="27" t="s">
        <v>181</v>
      </c>
      <c r="B6" s="27" t="s">
        <v>61</v>
      </c>
      <c r="C6" s="27" t="s">
        <v>68</v>
      </c>
      <c r="D6" s="27" t="s">
        <v>182</v>
      </c>
      <c r="E6" s="27" t="s">
        <v>69</v>
      </c>
      <c r="F6" s="27" t="s">
        <v>183</v>
      </c>
      <c r="G6" s="27" t="s">
        <v>184</v>
      </c>
      <c r="H6" s="27" t="s">
        <v>108</v>
      </c>
      <c r="I6" s="46" t="s">
        <v>185</v>
      </c>
      <c r="J6" s="46" t="s">
        <v>186</v>
      </c>
    </row>
    <row r="7" spans="1:10" ht="16" x14ac:dyDescent="0.2">
      <c r="A7" s="50"/>
      <c r="B7" s="47"/>
      <c r="C7" s="47"/>
      <c r="D7" s="47"/>
      <c r="E7" s="56"/>
      <c r="F7" s="47"/>
      <c r="G7" s="47"/>
      <c r="H7" s="47"/>
      <c r="I7" s="48" t="str">
        <f t="shared" ref="I7:I70" si="0">IF(OR(A7="",E7=""),"",YEAR(A7))</f>
        <v/>
      </c>
      <c r="J7" s="48" t="str">
        <f t="shared" ref="J7:J70" si="1">IF(OR(A7="",E7=""),"",YEAR(A7)*100+MONTH(A7))</f>
        <v/>
      </c>
    </row>
    <row r="8" spans="1:10" ht="16" x14ac:dyDescent="0.2">
      <c r="A8" s="50"/>
      <c r="B8" s="47"/>
      <c r="C8" s="47"/>
      <c r="D8" s="47"/>
      <c r="E8" s="56"/>
      <c r="F8" s="47"/>
      <c r="G8" s="47"/>
      <c r="H8" s="47"/>
      <c r="I8" s="48" t="str">
        <f t="shared" si="0"/>
        <v/>
      </c>
      <c r="J8" s="48" t="str">
        <f t="shared" si="1"/>
        <v/>
      </c>
    </row>
    <row r="9" spans="1:10" ht="16" x14ac:dyDescent="0.2">
      <c r="A9" s="50"/>
      <c r="B9" s="47"/>
      <c r="C9" s="47"/>
      <c r="D9" s="47"/>
      <c r="E9" s="56"/>
      <c r="F9" s="47"/>
      <c r="G9" s="47"/>
      <c r="H9" s="47"/>
      <c r="I9" s="48" t="str">
        <f t="shared" si="0"/>
        <v/>
      </c>
      <c r="J9" s="48" t="str">
        <f t="shared" si="1"/>
        <v/>
      </c>
    </row>
    <row r="10" spans="1:10" ht="16" x14ac:dyDescent="0.2">
      <c r="A10" s="50"/>
      <c r="B10" s="47"/>
      <c r="C10" s="47"/>
      <c r="D10" s="47"/>
      <c r="E10" s="56"/>
      <c r="F10" s="47"/>
      <c r="G10" s="47"/>
      <c r="H10" s="47"/>
      <c r="I10" s="48" t="str">
        <f t="shared" si="0"/>
        <v/>
      </c>
      <c r="J10" s="48" t="str">
        <f t="shared" si="1"/>
        <v/>
      </c>
    </row>
    <row r="11" spans="1:10" ht="16" x14ac:dyDescent="0.2">
      <c r="A11" s="50"/>
      <c r="B11" s="47"/>
      <c r="C11" s="47"/>
      <c r="D11" s="47"/>
      <c r="E11" s="56"/>
      <c r="F11" s="47"/>
      <c r="G11" s="47"/>
      <c r="H11" s="47"/>
      <c r="I11" s="48" t="str">
        <f t="shared" si="0"/>
        <v/>
      </c>
      <c r="J11" s="48" t="str">
        <f t="shared" si="1"/>
        <v/>
      </c>
    </row>
    <row r="12" spans="1:10" ht="16" x14ac:dyDescent="0.2">
      <c r="A12" s="50"/>
      <c r="B12" s="47"/>
      <c r="C12" s="47"/>
      <c r="D12" s="47"/>
      <c r="E12" s="56"/>
      <c r="F12" s="47"/>
      <c r="G12" s="47"/>
      <c r="H12" s="47"/>
      <c r="I12" s="48" t="str">
        <f t="shared" si="0"/>
        <v/>
      </c>
      <c r="J12" s="48" t="str">
        <f t="shared" si="1"/>
        <v/>
      </c>
    </row>
    <row r="13" spans="1:10" ht="16" x14ac:dyDescent="0.2">
      <c r="A13" s="50"/>
      <c r="B13" s="47"/>
      <c r="C13" s="47"/>
      <c r="D13" s="47"/>
      <c r="E13" s="56"/>
      <c r="F13" s="47"/>
      <c r="G13" s="47"/>
      <c r="H13" s="47"/>
      <c r="I13" s="48" t="str">
        <f t="shared" si="0"/>
        <v/>
      </c>
      <c r="J13" s="48" t="str">
        <f t="shared" si="1"/>
        <v/>
      </c>
    </row>
    <row r="14" spans="1:10" ht="16" x14ac:dyDescent="0.2">
      <c r="A14" s="50"/>
      <c r="B14" s="47"/>
      <c r="C14" s="47"/>
      <c r="D14" s="47"/>
      <c r="E14" s="56"/>
      <c r="F14" s="47"/>
      <c r="G14" s="47"/>
      <c r="H14" s="47"/>
      <c r="I14" s="48" t="str">
        <f t="shared" si="0"/>
        <v/>
      </c>
      <c r="J14" s="48" t="str">
        <f t="shared" si="1"/>
        <v/>
      </c>
    </row>
    <row r="15" spans="1:10" ht="16" x14ac:dyDescent="0.2">
      <c r="A15" s="50"/>
      <c r="B15" s="47"/>
      <c r="C15" s="47"/>
      <c r="D15" s="47"/>
      <c r="E15" s="56"/>
      <c r="F15" s="47"/>
      <c r="G15" s="47"/>
      <c r="H15" s="47"/>
      <c r="I15" s="48" t="str">
        <f t="shared" si="0"/>
        <v/>
      </c>
      <c r="J15" s="48" t="str">
        <f t="shared" si="1"/>
        <v/>
      </c>
    </row>
    <row r="16" spans="1:10" ht="16" x14ac:dyDescent="0.2">
      <c r="A16" s="50"/>
      <c r="B16" s="47"/>
      <c r="C16" s="47"/>
      <c r="D16" s="47"/>
      <c r="E16" s="56"/>
      <c r="F16" s="47"/>
      <c r="G16" s="47"/>
      <c r="H16" s="47"/>
      <c r="I16" s="48" t="str">
        <f t="shared" si="0"/>
        <v/>
      </c>
      <c r="J16" s="48" t="str">
        <f t="shared" si="1"/>
        <v/>
      </c>
    </row>
    <row r="17" spans="1:10" ht="16" x14ac:dyDescent="0.2">
      <c r="A17" s="50"/>
      <c r="B17" s="47"/>
      <c r="C17" s="47"/>
      <c r="D17" s="47"/>
      <c r="E17" s="56"/>
      <c r="F17" s="47"/>
      <c r="G17" s="47"/>
      <c r="H17" s="47"/>
      <c r="I17" s="48" t="str">
        <f t="shared" si="0"/>
        <v/>
      </c>
      <c r="J17" s="48" t="str">
        <f t="shared" si="1"/>
        <v/>
      </c>
    </row>
    <row r="18" spans="1:10" ht="16" x14ac:dyDescent="0.2">
      <c r="A18" s="50"/>
      <c r="B18" s="47"/>
      <c r="C18" s="47"/>
      <c r="D18" s="47"/>
      <c r="E18" s="56"/>
      <c r="F18" s="47"/>
      <c r="G18" s="47"/>
      <c r="H18" s="47"/>
      <c r="I18" s="48" t="str">
        <f t="shared" si="0"/>
        <v/>
      </c>
      <c r="J18" s="48" t="str">
        <f t="shared" si="1"/>
        <v/>
      </c>
    </row>
    <row r="19" spans="1:10" ht="16" x14ac:dyDescent="0.2">
      <c r="A19" s="50"/>
      <c r="B19" s="47"/>
      <c r="C19" s="47"/>
      <c r="D19" s="47"/>
      <c r="E19" s="56"/>
      <c r="F19" s="47"/>
      <c r="G19" s="47"/>
      <c r="H19" s="47"/>
      <c r="I19" s="48" t="str">
        <f t="shared" si="0"/>
        <v/>
      </c>
      <c r="J19" s="48" t="str">
        <f t="shared" si="1"/>
        <v/>
      </c>
    </row>
    <row r="20" spans="1:10" ht="16" x14ac:dyDescent="0.2">
      <c r="A20" s="50"/>
      <c r="B20" s="47"/>
      <c r="C20" s="47"/>
      <c r="D20" s="47"/>
      <c r="E20" s="56"/>
      <c r="F20" s="47"/>
      <c r="G20" s="47"/>
      <c r="H20" s="47"/>
      <c r="I20" s="48" t="str">
        <f t="shared" si="0"/>
        <v/>
      </c>
      <c r="J20" s="48" t="str">
        <f t="shared" si="1"/>
        <v/>
      </c>
    </row>
    <row r="21" spans="1:10" ht="16" x14ac:dyDescent="0.2">
      <c r="A21" s="50"/>
      <c r="B21" s="47"/>
      <c r="C21" s="47"/>
      <c r="D21" s="47"/>
      <c r="E21" s="56"/>
      <c r="F21" s="47"/>
      <c r="G21" s="47"/>
      <c r="H21" s="47"/>
      <c r="I21" s="48" t="str">
        <f t="shared" si="0"/>
        <v/>
      </c>
      <c r="J21" s="48" t="str">
        <f t="shared" si="1"/>
        <v/>
      </c>
    </row>
    <row r="22" spans="1:10" ht="16" x14ac:dyDescent="0.2">
      <c r="A22" s="50"/>
      <c r="B22" s="47"/>
      <c r="C22" s="47"/>
      <c r="D22" s="47"/>
      <c r="E22" s="56"/>
      <c r="F22" s="47"/>
      <c r="G22" s="47"/>
      <c r="H22" s="47"/>
      <c r="I22" s="48" t="str">
        <f t="shared" si="0"/>
        <v/>
      </c>
      <c r="J22" s="48" t="str">
        <f t="shared" si="1"/>
        <v/>
      </c>
    </row>
    <row r="23" spans="1:10" ht="16" x14ac:dyDescent="0.2">
      <c r="A23" s="50"/>
      <c r="B23" s="47"/>
      <c r="C23" s="47"/>
      <c r="D23" s="47"/>
      <c r="E23" s="56"/>
      <c r="F23" s="47"/>
      <c r="G23" s="47"/>
      <c r="H23" s="47"/>
      <c r="I23" s="48" t="str">
        <f t="shared" si="0"/>
        <v/>
      </c>
      <c r="J23" s="48" t="str">
        <f t="shared" si="1"/>
        <v/>
      </c>
    </row>
    <row r="24" spans="1:10" ht="16" x14ac:dyDescent="0.2">
      <c r="A24" s="50"/>
      <c r="B24" s="47"/>
      <c r="C24" s="47"/>
      <c r="D24" s="47"/>
      <c r="E24" s="56"/>
      <c r="F24" s="47"/>
      <c r="G24" s="47"/>
      <c r="H24" s="47"/>
      <c r="I24" s="48" t="str">
        <f t="shared" si="0"/>
        <v/>
      </c>
      <c r="J24" s="48" t="str">
        <f t="shared" si="1"/>
        <v/>
      </c>
    </row>
    <row r="25" spans="1:10" ht="16" x14ac:dyDescent="0.2">
      <c r="A25" s="50"/>
      <c r="B25" s="47"/>
      <c r="C25" s="47"/>
      <c r="D25" s="47"/>
      <c r="E25" s="56"/>
      <c r="F25" s="47"/>
      <c r="G25" s="47"/>
      <c r="H25" s="47"/>
      <c r="I25" s="48" t="str">
        <f t="shared" si="0"/>
        <v/>
      </c>
      <c r="J25" s="48" t="str">
        <f t="shared" si="1"/>
        <v/>
      </c>
    </row>
    <row r="26" spans="1:10" ht="16" x14ac:dyDescent="0.2">
      <c r="A26" s="50"/>
      <c r="B26" s="47"/>
      <c r="C26" s="47"/>
      <c r="D26" s="47"/>
      <c r="E26" s="56"/>
      <c r="F26" s="47"/>
      <c r="G26" s="47"/>
      <c r="H26" s="47"/>
      <c r="I26" s="48" t="str">
        <f t="shared" si="0"/>
        <v/>
      </c>
      <c r="J26" s="48" t="str">
        <f t="shared" si="1"/>
        <v/>
      </c>
    </row>
    <row r="27" spans="1:10" ht="16" x14ac:dyDescent="0.2">
      <c r="A27" s="50"/>
      <c r="B27" s="47"/>
      <c r="C27" s="47"/>
      <c r="D27" s="47"/>
      <c r="E27" s="56"/>
      <c r="F27" s="47"/>
      <c r="G27" s="47"/>
      <c r="H27" s="47"/>
      <c r="I27" s="48" t="str">
        <f t="shared" si="0"/>
        <v/>
      </c>
      <c r="J27" s="48" t="str">
        <f t="shared" si="1"/>
        <v/>
      </c>
    </row>
    <row r="28" spans="1:10" ht="16" x14ac:dyDescent="0.2">
      <c r="A28" s="50"/>
      <c r="B28" s="47"/>
      <c r="C28" s="47"/>
      <c r="D28" s="47"/>
      <c r="E28" s="56"/>
      <c r="F28" s="47"/>
      <c r="G28" s="47"/>
      <c r="H28" s="47"/>
      <c r="I28" s="48" t="str">
        <f t="shared" si="0"/>
        <v/>
      </c>
      <c r="J28" s="48" t="str">
        <f t="shared" si="1"/>
        <v/>
      </c>
    </row>
    <row r="29" spans="1:10" ht="16" x14ac:dyDescent="0.2">
      <c r="A29" s="50"/>
      <c r="B29" s="47"/>
      <c r="C29" s="47"/>
      <c r="D29" s="47"/>
      <c r="E29" s="56"/>
      <c r="F29" s="47"/>
      <c r="G29" s="47"/>
      <c r="H29" s="47"/>
      <c r="I29" s="48" t="str">
        <f t="shared" si="0"/>
        <v/>
      </c>
      <c r="J29" s="48" t="str">
        <f t="shared" si="1"/>
        <v/>
      </c>
    </row>
    <row r="30" spans="1:10" ht="16" x14ac:dyDescent="0.2">
      <c r="A30" s="50"/>
      <c r="B30" s="47"/>
      <c r="C30" s="47"/>
      <c r="D30" s="47"/>
      <c r="E30" s="56"/>
      <c r="F30" s="47"/>
      <c r="G30" s="47"/>
      <c r="H30" s="47"/>
      <c r="I30" s="48" t="str">
        <f t="shared" si="0"/>
        <v/>
      </c>
      <c r="J30" s="48" t="str">
        <f t="shared" si="1"/>
        <v/>
      </c>
    </row>
    <row r="31" spans="1:10" ht="16" x14ac:dyDescent="0.2">
      <c r="A31" s="50"/>
      <c r="B31" s="47"/>
      <c r="C31" s="47"/>
      <c r="D31" s="47"/>
      <c r="E31" s="56"/>
      <c r="F31" s="47"/>
      <c r="G31" s="47"/>
      <c r="H31" s="47"/>
      <c r="I31" s="48" t="str">
        <f t="shared" si="0"/>
        <v/>
      </c>
      <c r="J31" s="48" t="str">
        <f t="shared" si="1"/>
        <v/>
      </c>
    </row>
    <row r="32" spans="1:10" ht="16" x14ac:dyDescent="0.2">
      <c r="A32" s="50"/>
      <c r="B32" s="47"/>
      <c r="C32" s="47"/>
      <c r="D32" s="47"/>
      <c r="E32" s="56"/>
      <c r="F32" s="47"/>
      <c r="G32" s="47"/>
      <c r="H32" s="47"/>
      <c r="I32" s="48" t="str">
        <f t="shared" si="0"/>
        <v/>
      </c>
      <c r="J32" s="48" t="str">
        <f t="shared" si="1"/>
        <v/>
      </c>
    </row>
    <row r="33" spans="1:10" ht="16" x14ac:dyDescent="0.2">
      <c r="A33" s="50"/>
      <c r="B33" s="47"/>
      <c r="C33" s="47"/>
      <c r="D33" s="47"/>
      <c r="E33" s="56"/>
      <c r="F33" s="47"/>
      <c r="G33" s="47"/>
      <c r="H33" s="47"/>
      <c r="I33" s="48" t="str">
        <f t="shared" si="0"/>
        <v/>
      </c>
      <c r="J33" s="48" t="str">
        <f t="shared" si="1"/>
        <v/>
      </c>
    </row>
    <row r="34" spans="1:10" ht="16" x14ac:dyDescent="0.2">
      <c r="A34" s="50"/>
      <c r="B34" s="47"/>
      <c r="C34" s="47"/>
      <c r="D34" s="47"/>
      <c r="E34" s="56"/>
      <c r="F34" s="47"/>
      <c r="G34" s="47"/>
      <c r="H34" s="47"/>
      <c r="I34" s="48" t="str">
        <f t="shared" si="0"/>
        <v/>
      </c>
      <c r="J34" s="48" t="str">
        <f t="shared" si="1"/>
        <v/>
      </c>
    </row>
    <row r="35" spans="1:10" ht="16" x14ac:dyDescent="0.2">
      <c r="A35" s="50"/>
      <c r="B35" s="47"/>
      <c r="C35" s="47"/>
      <c r="D35" s="47"/>
      <c r="E35" s="56"/>
      <c r="F35" s="47"/>
      <c r="G35" s="47"/>
      <c r="H35" s="47"/>
      <c r="I35" s="48" t="str">
        <f t="shared" si="0"/>
        <v/>
      </c>
      <c r="J35" s="48" t="str">
        <f t="shared" si="1"/>
        <v/>
      </c>
    </row>
    <row r="36" spans="1:10" ht="16" x14ac:dyDescent="0.2">
      <c r="A36" s="50"/>
      <c r="B36" s="47"/>
      <c r="C36" s="47"/>
      <c r="D36" s="47"/>
      <c r="E36" s="56"/>
      <c r="F36" s="47"/>
      <c r="G36" s="47"/>
      <c r="H36" s="47"/>
      <c r="I36" s="48" t="str">
        <f t="shared" si="0"/>
        <v/>
      </c>
      <c r="J36" s="48" t="str">
        <f t="shared" si="1"/>
        <v/>
      </c>
    </row>
    <row r="37" spans="1:10" ht="16" x14ac:dyDescent="0.2">
      <c r="A37" s="50"/>
      <c r="B37" s="47"/>
      <c r="C37" s="47"/>
      <c r="D37" s="47"/>
      <c r="E37" s="56"/>
      <c r="F37" s="47"/>
      <c r="G37" s="47"/>
      <c r="H37" s="47"/>
      <c r="I37" s="48" t="str">
        <f t="shared" si="0"/>
        <v/>
      </c>
      <c r="J37" s="48" t="str">
        <f t="shared" si="1"/>
        <v/>
      </c>
    </row>
    <row r="38" spans="1:10" ht="16" x14ac:dyDescent="0.2">
      <c r="A38" s="50"/>
      <c r="B38" s="47"/>
      <c r="C38" s="47"/>
      <c r="D38" s="47"/>
      <c r="E38" s="56"/>
      <c r="F38" s="47"/>
      <c r="G38" s="47"/>
      <c r="H38" s="47"/>
      <c r="I38" s="48" t="str">
        <f t="shared" si="0"/>
        <v/>
      </c>
      <c r="J38" s="48" t="str">
        <f t="shared" si="1"/>
        <v/>
      </c>
    </row>
    <row r="39" spans="1:10" ht="16" x14ac:dyDescent="0.2">
      <c r="A39" s="50"/>
      <c r="B39" s="47"/>
      <c r="C39" s="47"/>
      <c r="D39" s="47"/>
      <c r="E39" s="56"/>
      <c r="F39" s="47"/>
      <c r="G39" s="47"/>
      <c r="H39" s="47"/>
      <c r="I39" s="48" t="str">
        <f t="shared" si="0"/>
        <v/>
      </c>
      <c r="J39" s="48" t="str">
        <f t="shared" si="1"/>
        <v/>
      </c>
    </row>
    <row r="40" spans="1:10" ht="16" x14ac:dyDescent="0.2">
      <c r="A40" s="50"/>
      <c r="B40" s="47"/>
      <c r="C40" s="47"/>
      <c r="D40" s="47"/>
      <c r="E40" s="56"/>
      <c r="F40" s="47"/>
      <c r="G40" s="47"/>
      <c r="H40" s="47"/>
      <c r="I40" s="48" t="str">
        <f t="shared" si="0"/>
        <v/>
      </c>
      <c r="J40" s="48" t="str">
        <f t="shared" si="1"/>
        <v/>
      </c>
    </row>
    <row r="41" spans="1:10" ht="16" x14ac:dyDescent="0.2">
      <c r="A41" s="50"/>
      <c r="B41" s="47"/>
      <c r="C41" s="47"/>
      <c r="D41" s="47"/>
      <c r="E41" s="56"/>
      <c r="F41" s="47"/>
      <c r="G41" s="47"/>
      <c r="H41" s="47"/>
      <c r="I41" s="48" t="str">
        <f t="shared" si="0"/>
        <v/>
      </c>
      <c r="J41" s="48" t="str">
        <f t="shared" si="1"/>
        <v/>
      </c>
    </row>
    <row r="42" spans="1:10" ht="16" x14ac:dyDescent="0.2">
      <c r="A42" s="50"/>
      <c r="B42" s="47"/>
      <c r="C42" s="47"/>
      <c r="D42" s="47"/>
      <c r="E42" s="56"/>
      <c r="F42" s="47"/>
      <c r="G42" s="47"/>
      <c r="H42" s="47"/>
      <c r="I42" s="48" t="str">
        <f t="shared" si="0"/>
        <v/>
      </c>
      <c r="J42" s="48" t="str">
        <f t="shared" si="1"/>
        <v/>
      </c>
    </row>
    <row r="43" spans="1:10" ht="16" x14ac:dyDescent="0.2">
      <c r="A43" s="50"/>
      <c r="B43" s="47"/>
      <c r="C43" s="47"/>
      <c r="D43" s="47"/>
      <c r="E43" s="56"/>
      <c r="F43" s="47"/>
      <c r="G43" s="47"/>
      <c r="H43" s="47"/>
      <c r="I43" s="48" t="str">
        <f t="shared" si="0"/>
        <v/>
      </c>
      <c r="J43" s="48" t="str">
        <f t="shared" si="1"/>
        <v/>
      </c>
    </row>
    <row r="44" spans="1:10" ht="16" x14ac:dyDescent="0.2">
      <c r="A44" s="50"/>
      <c r="B44" s="47"/>
      <c r="C44" s="47"/>
      <c r="D44" s="47"/>
      <c r="E44" s="56"/>
      <c r="F44" s="47"/>
      <c r="G44" s="47"/>
      <c r="H44" s="47"/>
      <c r="I44" s="48" t="str">
        <f t="shared" si="0"/>
        <v/>
      </c>
      <c r="J44" s="48" t="str">
        <f t="shared" si="1"/>
        <v/>
      </c>
    </row>
    <row r="45" spans="1:10" ht="16" x14ac:dyDescent="0.2">
      <c r="A45" s="50"/>
      <c r="B45" s="47"/>
      <c r="C45" s="47"/>
      <c r="D45" s="47"/>
      <c r="E45" s="56"/>
      <c r="F45" s="47"/>
      <c r="G45" s="47"/>
      <c r="H45" s="47"/>
      <c r="I45" s="48" t="str">
        <f t="shared" si="0"/>
        <v/>
      </c>
      <c r="J45" s="48" t="str">
        <f t="shared" si="1"/>
        <v/>
      </c>
    </row>
    <row r="46" spans="1:10" ht="16" x14ac:dyDescent="0.2">
      <c r="A46" s="50"/>
      <c r="B46" s="47"/>
      <c r="C46" s="47"/>
      <c r="D46" s="47"/>
      <c r="E46" s="56"/>
      <c r="F46" s="47"/>
      <c r="G46" s="47"/>
      <c r="H46" s="47"/>
      <c r="I46" s="48" t="str">
        <f t="shared" si="0"/>
        <v/>
      </c>
      <c r="J46" s="48" t="str">
        <f t="shared" si="1"/>
        <v/>
      </c>
    </row>
    <row r="47" spans="1:10" ht="16" x14ac:dyDescent="0.2">
      <c r="A47" s="50"/>
      <c r="B47" s="47"/>
      <c r="C47" s="47"/>
      <c r="D47" s="47"/>
      <c r="E47" s="56"/>
      <c r="F47" s="47"/>
      <c r="G47" s="47"/>
      <c r="H47" s="47"/>
      <c r="I47" s="48" t="str">
        <f t="shared" si="0"/>
        <v/>
      </c>
      <c r="J47" s="48" t="str">
        <f t="shared" si="1"/>
        <v/>
      </c>
    </row>
    <row r="48" spans="1:10" ht="16" x14ac:dyDescent="0.2">
      <c r="A48" s="50"/>
      <c r="B48" s="47"/>
      <c r="C48" s="47"/>
      <c r="D48" s="47"/>
      <c r="E48" s="56"/>
      <c r="F48" s="47"/>
      <c r="G48" s="47"/>
      <c r="H48" s="47"/>
      <c r="I48" s="48" t="str">
        <f t="shared" si="0"/>
        <v/>
      </c>
      <c r="J48" s="48" t="str">
        <f t="shared" si="1"/>
        <v/>
      </c>
    </row>
    <row r="49" spans="1:10" ht="16" x14ac:dyDescent="0.2">
      <c r="A49" s="50"/>
      <c r="B49" s="47"/>
      <c r="C49" s="47"/>
      <c r="D49" s="47"/>
      <c r="E49" s="56"/>
      <c r="F49" s="47"/>
      <c r="G49" s="47"/>
      <c r="H49" s="47"/>
      <c r="I49" s="48" t="str">
        <f t="shared" si="0"/>
        <v/>
      </c>
      <c r="J49" s="48" t="str">
        <f t="shared" si="1"/>
        <v/>
      </c>
    </row>
    <row r="50" spans="1:10" ht="16" x14ac:dyDescent="0.2">
      <c r="A50" s="50"/>
      <c r="B50" s="47"/>
      <c r="C50" s="47"/>
      <c r="D50" s="47"/>
      <c r="E50" s="56"/>
      <c r="F50" s="47"/>
      <c r="G50" s="47"/>
      <c r="H50" s="47"/>
      <c r="I50" s="48" t="str">
        <f t="shared" si="0"/>
        <v/>
      </c>
      <c r="J50" s="48" t="str">
        <f t="shared" si="1"/>
        <v/>
      </c>
    </row>
    <row r="51" spans="1:10" ht="16" x14ac:dyDescent="0.2">
      <c r="A51" s="50"/>
      <c r="B51" s="47"/>
      <c r="C51" s="47"/>
      <c r="D51" s="47"/>
      <c r="E51" s="56"/>
      <c r="F51" s="47"/>
      <c r="G51" s="47"/>
      <c r="H51" s="47"/>
      <c r="I51" s="48" t="str">
        <f t="shared" si="0"/>
        <v/>
      </c>
      <c r="J51" s="48" t="str">
        <f t="shared" si="1"/>
        <v/>
      </c>
    </row>
    <row r="52" spans="1:10" ht="16" x14ac:dyDescent="0.2">
      <c r="A52" s="50"/>
      <c r="B52" s="47"/>
      <c r="C52" s="47"/>
      <c r="D52" s="47"/>
      <c r="E52" s="56"/>
      <c r="F52" s="47"/>
      <c r="G52" s="47"/>
      <c r="H52" s="47"/>
      <c r="I52" s="48" t="str">
        <f t="shared" si="0"/>
        <v/>
      </c>
      <c r="J52" s="48" t="str">
        <f t="shared" si="1"/>
        <v/>
      </c>
    </row>
    <row r="53" spans="1:10" ht="16" x14ac:dyDescent="0.2">
      <c r="A53" s="50"/>
      <c r="B53" s="47"/>
      <c r="C53" s="47"/>
      <c r="D53" s="47"/>
      <c r="E53" s="56"/>
      <c r="F53" s="47"/>
      <c r="G53" s="47"/>
      <c r="H53" s="47"/>
      <c r="I53" s="48" t="str">
        <f t="shared" si="0"/>
        <v/>
      </c>
      <c r="J53" s="48" t="str">
        <f t="shared" si="1"/>
        <v/>
      </c>
    </row>
    <row r="54" spans="1:10" ht="16" x14ac:dyDescent="0.2">
      <c r="A54" s="50"/>
      <c r="B54" s="47"/>
      <c r="C54" s="47"/>
      <c r="D54" s="47"/>
      <c r="E54" s="56"/>
      <c r="F54" s="47"/>
      <c r="G54" s="47"/>
      <c r="H54" s="47"/>
      <c r="I54" s="48" t="str">
        <f t="shared" si="0"/>
        <v/>
      </c>
      <c r="J54" s="48" t="str">
        <f t="shared" si="1"/>
        <v/>
      </c>
    </row>
    <row r="55" spans="1:10" ht="16" x14ac:dyDescent="0.2">
      <c r="A55" s="50"/>
      <c r="B55" s="47"/>
      <c r="C55" s="47"/>
      <c r="D55" s="47"/>
      <c r="E55" s="56"/>
      <c r="F55" s="47"/>
      <c r="G55" s="47"/>
      <c r="H55" s="47"/>
      <c r="I55" s="48" t="str">
        <f t="shared" si="0"/>
        <v/>
      </c>
      <c r="J55" s="48" t="str">
        <f t="shared" si="1"/>
        <v/>
      </c>
    </row>
    <row r="56" spans="1:10" ht="16" x14ac:dyDescent="0.2">
      <c r="A56" s="50"/>
      <c r="B56" s="47"/>
      <c r="C56" s="47"/>
      <c r="D56" s="47"/>
      <c r="E56" s="56"/>
      <c r="F56" s="47"/>
      <c r="G56" s="47"/>
      <c r="H56" s="47"/>
      <c r="I56" s="48" t="str">
        <f t="shared" si="0"/>
        <v/>
      </c>
      <c r="J56" s="48" t="str">
        <f t="shared" si="1"/>
        <v/>
      </c>
    </row>
    <row r="57" spans="1:10" ht="16" x14ac:dyDescent="0.2">
      <c r="A57" s="50"/>
      <c r="B57" s="47"/>
      <c r="C57" s="47"/>
      <c r="D57" s="47"/>
      <c r="E57" s="56"/>
      <c r="F57" s="47"/>
      <c r="G57" s="47"/>
      <c r="H57" s="47"/>
      <c r="I57" s="48" t="str">
        <f t="shared" si="0"/>
        <v/>
      </c>
      <c r="J57" s="48" t="str">
        <f t="shared" si="1"/>
        <v/>
      </c>
    </row>
    <row r="58" spans="1:10" ht="16" x14ac:dyDescent="0.2">
      <c r="A58" s="50"/>
      <c r="B58" s="47"/>
      <c r="C58" s="47"/>
      <c r="D58" s="47"/>
      <c r="E58" s="56"/>
      <c r="F58" s="47"/>
      <c r="G58" s="47"/>
      <c r="H58" s="47"/>
      <c r="I58" s="48" t="str">
        <f t="shared" si="0"/>
        <v/>
      </c>
      <c r="J58" s="48" t="str">
        <f t="shared" si="1"/>
        <v/>
      </c>
    </row>
    <row r="59" spans="1:10" ht="16" x14ac:dyDescent="0.2">
      <c r="A59" s="50"/>
      <c r="B59" s="47"/>
      <c r="C59" s="47"/>
      <c r="D59" s="47"/>
      <c r="E59" s="56"/>
      <c r="F59" s="47"/>
      <c r="G59" s="47"/>
      <c r="H59" s="47"/>
      <c r="I59" s="48" t="str">
        <f t="shared" si="0"/>
        <v/>
      </c>
      <c r="J59" s="48" t="str">
        <f t="shared" si="1"/>
        <v/>
      </c>
    </row>
    <row r="60" spans="1:10" ht="16" x14ac:dyDescent="0.2">
      <c r="A60" s="50"/>
      <c r="B60" s="47"/>
      <c r="C60" s="47"/>
      <c r="D60" s="47"/>
      <c r="E60" s="56"/>
      <c r="F60" s="47"/>
      <c r="G60" s="47"/>
      <c r="H60" s="47"/>
      <c r="I60" s="48" t="str">
        <f t="shared" si="0"/>
        <v/>
      </c>
      <c r="J60" s="48" t="str">
        <f t="shared" si="1"/>
        <v/>
      </c>
    </row>
    <row r="61" spans="1:10" ht="16" x14ac:dyDescent="0.2">
      <c r="A61" s="50"/>
      <c r="B61" s="47"/>
      <c r="C61" s="47"/>
      <c r="D61" s="47"/>
      <c r="E61" s="56"/>
      <c r="F61" s="47"/>
      <c r="G61" s="47"/>
      <c r="H61" s="47"/>
      <c r="I61" s="48" t="str">
        <f t="shared" si="0"/>
        <v/>
      </c>
      <c r="J61" s="48" t="str">
        <f t="shared" si="1"/>
        <v/>
      </c>
    </row>
    <row r="62" spans="1:10" ht="16" x14ac:dyDescent="0.2">
      <c r="A62" s="50"/>
      <c r="B62" s="47"/>
      <c r="C62" s="47"/>
      <c r="D62" s="47"/>
      <c r="E62" s="56"/>
      <c r="F62" s="47"/>
      <c r="G62" s="47"/>
      <c r="H62" s="47"/>
      <c r="I62" s="48" t="str">
        <f t="shared" si="0"/>
        <v/>
      </c>
      <c r="J62" s="48" t="str">
        <f t="shared" si="1"/>
        <v/>
      </c>
    </row>
    <row r="63" spans="1:10" ht="16" x14ac:dyDescent="0.2">
      <c r="A63" s="50"/>
      <c r="B63" s="47"/>
      <c r="C63" s="47"/>
      <c r="D63" s="47"/>
      <c r="E63" s="56"/>
      <c r="F63" s="47"/>
      <c r="G63" s="47"/>
      <c r="H63" s="47"/>
      <c r="I63" s="48" t="str">
        <f t="shared" si="0"/>
        <v/>
      </c>
      <c r="J63" s="48" t="str">
        <f t="shared" si="1"/>
        <v/>
      </c>
    </row>
    <row r="64" spans="1:10" ht="16" x14ac:dyDescent="0.2">
      <c r="A64" s="50"/>
      <c r="B64" s="47"/>
      <c r="C64" s="47"/>
      <c r="D64" s="47"/>
      <c r="E64" s="56"/>
      <c r="F64" s="47"/>
      <c r="G64" s="47"/>
      <c r="H64" s="47"/>
      <c r="I64" s="48" t="str">
        <f t="shared" si="0"/>
        <v/>
      </c>
      <c r="J64" s="48" t="str">
        <f t="shared" si="1"/>
        <v/>
      </c>
    </row>
    <row r="65" spans="1:10" ht="16" x14ac:dyDescent="0.2">
      <c r="A65" s="50"/>
      <c r="B65" s="47"/>
      <c r="C65" s="47"/>
      <c r="D65" s="47"/>
      <c r="E65" s="56"/>
      <c r="F65" s="47"/>
      <c r="G65" s="47"/>
      <c r="H65" s="47"/>
      <c r="I65" s="48" t="str">
        <f t="shared" si="0"/>
        <v/>
      </c>
      <c r="J65" s="48" t="str">
        <f t="shared" si="1"/>
        <v/>
      </c>
    </row>
    <row r="66" spans="1:10" ht="16" x14ac:dyDescent="0.2">
      <c r="A66" s="50"/>
      <c r="B66" s="47"/>
      <c r="C66" s="47"/>
      <c r="D66" s="47"/>
      <c r="E66" s="56"/>
      <c r="F66" s="47"/>
      <c r="G66" s="47"/>
      <c r="H66" s="47"/>
      <c r="I66" s="48" t="str">
        <f t="shared" si="0"/>
        <v/>
      </c>
      <c r="J66" s="48" t="str">
        <f t="shared" si="1"/>
        <v/>
      </c>
    </row>
    <row r="67" spans="1:10" ht="16" x14ac:dyDescent="0.2">
      <c r="A67" s="50"/>
      <c r="B67" s="47"/>
      <c r="C67" s="47"/>
      <c r="D67" s="47"/>
      <c r="E67" s="56"/>
      <c r="F67" s="47"/>
      <c r="G67" s="47"/>
      <c r="H67" s="47"/>
      <c r="I67" s="48" t="str">
        <f t="shared" si="0"/>
        <v/>
      </c>
      <c r="J67" s="48" t="str">
        <f t="shared" si="1"/>
        <v/>
      </c>
    </row>
    <row r="68" spans="1:10" ht="16" x14ac:dyDescent="0.2">
      <c r="A68" s="50"/>
      <c r="B68" s="47"/>
      <c r="C68" s="47"/>
      <c r="D68" s="47"/>
      <c r="E68" s="56"/>
      <c r="F68" s="47"/>
      <c r="G68" s="47"/>
      <c r="H68" s="47"/>
      <c r="I68" s="48" t="str">
        <f t="shared" si="0"/>
        <v/>
      </c>
      <c r="J68" s="48" t="str">
        <f t="shared" si="1"/>
        <v/>
      </c>
    </row>
    <row r="69" spans="1:10" ht="16" x14ac:dyDescent="0.2">
      <c r="A69" s="50"/>
      <c r="B69" s="47"/>
      <c r="C69" s="47"/>
      <c r="D69" s="47"/>
      <c r="E69" s="56"/>
      <c r="F69" s="47"/>
      <c r="G69" s="47"/>
      <c r="H69" s="47"/>
      <c r="I69" s="48" t="str">
        <f t="shared" si="0"/>
        <v/>
      </c>
      <c r="J69" s="48" t="str">
        <f t="shared" si="1"/>
        <v/>
      </c>
    </row>
    <row r="70" spans="1:10" ht="16" x14ac:dyDescent="0.2">
      <c r="A70" s="50"/>
      <c r="B70" s="47"/>
      <c r="C70" s="47"/>
      <c r="D70" s="47"/>
      <c r="E70" s="56"/>
      <c r="F70" s="47"/>
      <c r="G70" s="47"/>
      <c r="H70" s="47"/>
      <c r="I70" s="48" t="str">
        <f t="shared" si="0"/>
        <v/>
      </c>
      <c r="J70" s="48" t="str">
        <f t="shared" si="1"/>
        <v/>
      </c>
    </row>
    <row r="71" spans="1:10" ht="16" x14ac:dyDescent="0.2">
      <c r="A71" s="50"/>
      <c r="B71" s="47"/>
      <c r="C71" s="47"/>
      <c r="D71" s="47"/>
      <c r="E71" s="56"/>
      <c r="F71" s="47"/>
      <c r="G71" s="47"/>
      <c r="H71" s="47"/>
      <c r="I71" s="48" t="str">
        <f t="shared" ref="I71:I134" si="2">IF(OR(A71="",E71=""),"",YEAR(A71))</f>
        <v/>
      </c>
      <c r="J71" s="48" t="str">
        <f t="shared" ref="J71:J134" si="3">IF(OR(A71="",E71=""),"",YEAR(A71)*100+MONTH(A71))</f>
        <v/>
      </c>
    </row>
    <row r="72" spans="1:10" ht="16" x14ac:dyDescent="0.2">
      <c r="A72" s="50"/>
      <c r="B72" s="47"/>
      <c r="C72" s="47"/>
      <c r="D72" s="47"/>
      <c r="E72" s="56"/>
      <c r="F72" s="47"/>
      <c r="G72" s="47"/>
      <c r="H72" s="47"/>
      <c r="I72" s="48" t="str">
        <f t="shared" si="2"/>
        <v/>
      </c>
      <c r="J72" s="48" t="str">
        <f t="shared" si="3"/>
        <v/>
      </c>
    </row>
    <row r="73" spans="1:10" ht="16" x14ac:dyDescent="0.2">
      <c r="A73" s="50"/>
      <c r="B73" s="47"/>
      <c r="C73" s="47"/>
      <c r="D73" s="47"/>
      <c r="E73" s="56"/>
      <c r="F73" s="47"/>
      <c r="G73" s="47"/>
      <c r="H73" s="47"/>
      <c r="I73" s="48" t="str">
        <f t="shared" si="2"/>
        <v/>
      </c>
      <c r="J73" s="48" t="str">
        <f t="shared" si="3"/>
        <v/>
      </c>
    </row>
    <row r="74" spans="1:10" ht="16" x14ac:dyDescent="0.2">
      <c r="A74" s="50"/>
      <c r="B74" s="47"/>
      <c r="C74" s="47"/>
      <c r="D74" s="47"/>
      <c r="E74" s="56"/>
      <c r="F74" s="47"/>
      <c r="G74" s="47"/>
      <c r="H74" s="47"/>
      <c r="I74" s="48" t="str">
        <f t="shared" si="2"/>
        <v/>
      </c>
      <c r="J74" s="48" t="str">
        <f t="shared" si="3"/>
        <v/>
      </c>
    </row>
    <row r="75" spans="1:10" ht="16" x14ac:dyDescent="0.2">
      <c r="A75" s="50"/>
      <c r="B75" s="47"/>
      <c r="C75" s="47"/>
      <c r="D75" s="47"/>
      <c r="E75" s="56"/>
      <c r="F75" s="47"/>
      <c r="G75" s="47"/>
      <c r="H75" s="47"/>
      <c r="I75" s="48" t="str">
        <f t="shared" si="2"/>
        <v/>
      </c>
      <c r="J75" s="48" t="str">
        <f t="shared" si="3"/>
        <v/>
      </c>
    </row>
    <row r="76" spans="1:10" ht="16" x14ac:dyDescent="0.2">
      <c r="A76" s="50"/>
      <c r="B76" s="47"/>
      <c r="C76" s="47"/>
      <c r="D76" s="47"/>
      <c r="E76" s="56"/>
      <c r="F76" s="47"/>
      <c r="G76" s="47"/>
      <c r="H76" s="47"/>
      <c r="I76" s="48" t="str">
        <f t="shared" si="2"/>
        <v/>
      </c>
      <c r="J76" s="48" t="str">
        <f t="shared" si="3"/>
        <v/>
      </c>
    </row>
    <row r="77" spans="1:10" ht="16" x14ac:dyDescent="0.2">
      <c r="A77" s="50"/>
      <c r="B77" s="47"/>
      <c r="C77" s="47"/>
      <c r="D77" s="47"/>
      <c r="E77" s="56"/>
      <c r="F77" s="47"/>
      <c r="G77" s="47"/>
      <c r="H77" s="47"/>
      <c r="I77" s="48" t="str">
        <f t="shared" si="2"/>
        <v/>
      </c>
      <c r="J77" s="48" t="str">
        <f t="shared" si="3"/>
        <v/>
      </c>
    </row>
    <row r="78" spans="1:10" ht="16" x14ac:dyDescent="0.2">
      <c r="A78" s="50"/>
      <c r="B78" s="47"/>
      <c r="C78" s="47"/>
      <c r="D78" s="47"/>
      <c r="E78" s="56"/>
      <c r="F78" s="47"/>
      <c r="G78" s="47"/>
      <c r="H78" s="47"/>
      <c r="I78" s="48" t="str">
        <f t="shared" si="2"/>
        <v/>
      </c>
      <c r="J78" s="48" t="str">
        <f t="shared" si="3"/>
        <v/>
      </c>
    </row>
    <row r="79" spans="1:10" ht="16" x14ac:dyDescent="0.2">
      <c r="A79" s="50"/>
      <c r="B79" s="47"/>
      <c r="C79" s="47"/>
      <c r="D79" s="47"/>
      <c r="E79" s="56"/>
      <c r="F79" s="47"/>
      <c r="G79" s="47"/>
      <c r="H79" s="47"/>
      <c r="I79" s="48" t="str">
        <f t="shared" si="2"/>
        <v/>
      </c>
      <c r="J79" s="48" t="str">
        <f t="shared" si="3"/>
        <v/>
      </c>
    </row>
    <row r="80" spans="1:10" ht="16" x14ac:dyDescent="0.2">
      <c r="A80" s="50"/>
      <c r="B80" s="47"/>
      <c r="C80" s="47"/>
      <c r="D80" s="47"/>
      <c r="E80" s="56"/>
      <c r="F80" s="47"/>
      <c r="G80" s="47"/>
      <c r="H80" s="47"/>
      <c r="I80" s="48" t="str">
        <f t="shared" si="2"/>
        <v/>
      </c>
      <c r="J80" s="48" t="str">
        <f t="shared" si="3"/>
        <v/>
      </c>
    </row>
    <row r="81" spans="1:10" ht="16" x14ac:dyDescent="0.2">
      <c r="A81" s="50"/>
      <c r="B81" s="47"/>
      <c r="C81" s="47"/>
      <c r="D81" s="47"/>
      <c r="E81" s="56"/>
      <c r="F81" s="47"/>
      <c r="G81" s="47"/>
      <c r="H81" s="47"/>
      <c r="I81" s="48" t="str">
        <f t="shared" si="2"/>
        <v/>
      </c>
      <c r="J81" s="48" t="str">
        <f t="shared" si="3"/>
        <v/>
      </c>
    </row>
    <row r="82" spans="1:10" ht="16" x14ac:dyDescent="0.2">
      <c r="A82" s="50"/>
      <c r="B82" s="47"/>
      <c r="C82" s="47"/>
      <c r="D82" s="47"/>
      <c r="E82" s="56"/>
      <c r="F82" s="47"/>
      <c r="G82" s="47"/>
      <c r="H82" s="47"/>
      <c r="I82" s="48" t="str">
        <f t="shared" si="2"/>
        <v/>
      </c>
      <c r="J82" s="48" t="str">
        <f t="shared" si="3"/>
        <v/>
      </c>
    </row>
    <row r="83" spans="1:10" ht="16" x14ac:dyDescent="0.2">
      <c r="A83" s="50"/>
      <c r="B83" s="47"/>
      <c r="C83" s="47"/>
      <c r="D83" s="47"/>
      <c r="E83" s="56"/>
      <c r="F83" s="47"/>
      <c r="G83" s="47"/>
      <c r="H83" s="47"/>
      <c r="I83" s="48" t="str">
        <f t="shared" si="2"/>
        <v/>
      </c>
      <c r="J83" s="48" t="str">
        <f t="shared" si="3"/>
        <v/>
      </c>
    </row>
    <row r="84" spans="1:10" ht="16" x14ac:dyDescent="0.2">
      <c r="A84" s="50"/>
      <c r="B84" s="47"/>
      <c r="C84" s="47"/>
      <c r="D84" s="47"/>
      <c r="E84" s="56"/>
      <c r="F84" s="47"/>
      <c r="G84" s="47"/>
      <c r="H84" s="47"/>
      <c r="I84" s="48" t="str">
        <f t="shared" si="2"/>
        <v/>
      </c>
      <c r="J84" s="48" t="str">
        <f t="shared" si="3"/>
        <v/>
      </c>
    </row>
    <row r="85" spans="1:10" ht="16" x14ac:dyDescent="0.2">
      <c r="A85" s="50"/>
      <c r="B85" s="47"/>
      <c r="C85" s="47"/>
      <c r="D85" s="47"/>
      <c r="E85" s="56"/>
      <c r="F85" s="47"/>
      <c r="G85" s="47"/>
      <c r="H85" s="47"/>
      <c r="I85" s="48" t="str">
        <f t="shared" si="2"/>
        <v/>
      </c>
      <c r="J85" s="48" t="str">
        <f t="shared" si="3"/>
        <v/>
      </c>
    </row>
    <row r="86" spans="1:10" ht="16" x14ac:dyDescent="0.2">
      <c r="A86" s="50"/>
      <c r="B86" s="47"/>
      <c r="C86" s="47"/>
      <c r="D86" s="47"/>
      <c r="E86" s="56"/>
      <c r="F86" s="47"/>
      <c r="G86" s="47"/>
      <c r="H86" s="47"/>
      <c r="I86" s="48" t="str">
        <f t="shared" si="2"/>
        <v/>
      </c>
      <c r="J86" s="48" t="str">
        <f t="shared" si="3"/>
        <v/>
      </c>
    </row>
    <row r="87" spans="1:10" ht="16" x14ac:dyDescent="0.2">
      <c r="A87" s="50"/>
      <c r="B87" s="47"/>
      <c r="C87" s="47"/>
      <c r="D87" s="47"/>
      <c r="E87" s="56"/>
      <c r="F87" s="47"/>
      <c r="G87" s="47"/>
      <c r="H87" s="47"/>
      <c r="I87" s="48" t="str">
        <f t="shared" si="2"/>
        <v/>
      </c>
      <c r="J87" s="48" t="str">
        <f t="shared" si="3"/>
        <v/>
      </c>
    </row>
    <row r="88" spans="1:10" ht="16" x14ac:dyDescent="0.2">
      <c r="A88" s="50"/>
      <c r="B88" s="47"/>
      <c r="C88" s="47"/>
      <c r="D88" s="47"/>
      <c r="E88" s="56"/>
      <c r="F88" s="47"/>
      <c r="G88" s="47"/>
      <c r="H88" s="47"/>
      <c r="I88" s="48" t="str">
        <f t="shared" si="2"/>
        <v/>
      </c>
      <c r="J88" s="48" t="str">
        <f t="shared" si="3"/>
        <v/>
      </c>
    </row>
    <row r="89" spans="1:10" ht="16" x14ac:dyDescent="0.2">
      <c r="A89" s="50"/>
      <c r="B89" s="47"/>
      <c r="C89" s="47"/>
      <c r="D89" s="47"/>
      <c r="E89" s="56"/>
      <c r="F89" s="47"/>
      <c r="G89" s="47"/>
      <c r="H89" s="47"/>
      <c r="I89" s="48" t="str">
        <f t="shared" si="2"/>
        <v/>
      </c>
      <c r="J89" s="48" t="str">
        <f t="shared" si="3"/>
        <v/>
      </c>
    </row>
    <row r="90" spans="1:10" ht="16" x14ac:dyDescent="0.2">
      <c r="A90" s="50"/>
      <c r="B90" s="47"/>
      <c r="C90" s="47"/>
      <c r="D90" s="47"/>
      <c r="E90" s="56"/>
      <c r="F90" s="47"/>
      <c r="G90" s="47"/>
      <c r="H90" s="47"/>
      <c r="I90" s="48" t="str">
        <f t="shared" si="2"/>
        <v/>
      </c>
      <c r="J90" s="48" t="str">
        <f t="shared" si="3"/>
        <v/>
      </c>
    </row>
    <row r="91" spans="1:10" ht="16" x14ac:dyDescent="0.2">
      <c r="A91" s="50"/>
      <c r="B91" s="47"/>
      <c r="C91" s="47"/>
      <c r="D91" s="47"/>
      <c r="E91" s="56"/>
      <c r="F91" s="47"/>
      <c r="G91" s="47"/>
      <c r="H91" s="47"/>
      <c r="I91" s="48" t="str">
        <f t="shared" si="2"/>
        <v/>
      </c>
      <c r="J91" s="48" t="str">
        <f t="shared" si="3"/>
        <v/>
      </c>
    </row>
    <row r="92" spans="1:10" ht="16" x14ac:dyDescent="0.2">
      <c r="A92" s="50"/>
      <c r="B92" s="47"/>
      <c r="C92" s="47"/>
      <c r="D92" s="47"/>
      <c r="E92" s="56"/>
      <c r="F92" s="47"/>
      <c r="G92" s="47"/>
      <c r="H92" s="47"/>
      <c r="I92" s="48" t="str">
        <f t="shared" si="2"/>
        <v/>
      </c>
      <c r="J92" s="48" t="str">
        <f t="shared" si="3"/>
        <v/>
      </c>
    </row>
    <row r="93" spans="1:10" ht="16" x14ac:dyDescent="0.2">
      <c r="A93" s="50"/>
      <c r="B93" s="47"/>
      <c r="C93" s="47"/>
      <c r="D93" s="47"/>
      <c r="E93" s="56"/>
      <c r="F93" s="47"/>
      <c r="G93" s="47"/>
      <c r="H93" s="47"/>
      <c r="I93" s="48" t="str">
        <f t="shared" si="2"/>
        <v/>
      </c>
      <c r="J93" s="48" t="str">
        <f t="shared" si="3"/>
        <v/>
      </c>
    </row>
    <row r="94" spans="1:10" ht="16" x14ac:dyDescent="0.2">
      <c r="A94" s="50"/>
      <c r="B94" s="47"/>
      <c r="C94" s="47"/>
      <c r="D94" s="47"/>
      <c r="E94" s="56"/>
      <c r="F94" s="47"/>
      <c r="G94" s="47"/>
      <c r="H94" s="47"/>
      <c r="I94" s="48" t="str">
        <f t="shared" si="2"/>
        <v/>
      </c>
      <c r="J94" s="48" t="str">
        <f t="shared" si="3"/>
        <v/>
      </c>
    </row>
    <row r="95" spans="1:10" ht="16" x14ac:dyDescent="0.2">
      <c r="A95" s="50"/>
      <c r="B95" s="47"/>
      <c r="C95" s="47"/>
      <c r="D95" s="47"/>
      <c r="E95" s="56"/>
      <c r="F95" s="47"/>
      <c r="G95" s="47"/>
      <c r="H95" s="47"/>
      <c r="I95" s="48" t="str">
        <f t="shared" si="2"/>
        <v/>
      </c>
      <c r="J95" s="48" t="str">
        <f t="shared" si="3"/>
        <v/>
      </c>
    </row>
    <row r="96" spans="1:10" ht="16" x14ac:dyDescent="0.2">
      <c r="A96" s="50"/>
      <c r="B96" s="47"/>
      <c r="C96" s="47"/>
      <c r="D96" s="47"/>
      <c r="E96" s="56"/>
      <c r="F96" s="47"/>
      <c r="G96" s="47"/>
      <c r="H96" s="47"/>
      <c r="I96" s="48" t="str">
        <f t="shared" si="2"/>
        <v/>
      </c>
      <c r="J96" s="48" t="str">
        <f t="shared" si="3"/>
        <v/>
      </c>
    </row>
    <row r="97" spans="1:10" ht="16" x14ac:dyDescent="0.2">
      <c r="A97" s="50"/>
      <c r="B97" s="47"/>
      <c r="C97" s="47"/>
      <c r="D97" s="47"/>
      <c r="E97" s="56"/>
      <c r="F97" s="47"/>
      <c r="G97" s="47"/>
      <c r="H97" s="47"/>
      <c r="I97" s="48" t="str">
        <f t="shared" si="2"/>
        <v/>
      </c>
      <c r="J97" s="48" t="str">
        <f t="shared" si="3"/>
        <v/>
      </c>
    </row>
    <row r="98" spans="1:10" ht="16" x14ac:dyDescent="0.2">
      <c r="A98" s="50"/>
      <c r="B98" s="47"/>
      <c r="C98" s="47"/>
      <c r="D98" s="47"/>
      <c r="E98" s="56"/>
      <c r="F98" s="47"/>
      <c r="G98" s="47"/>
      <c r="H98" s="47"/>
      <c r="I98" s="48" t="str">
        <f t="shared" si="2"/>
        <v/>
      </c>
      <c r="J98" s="48" t="str">
        <f t="shared" si="3"/>
        <v/>
      </c>
    </row>
    <row r="99" spans="1:10" ht="16" x14ac:dyDescent="0.2">
      <c r="A99" s="50"/>
      <c r="B99" s="47"/>
      <c r="C99" s="47"/>
      <c r="D99" s="47"/>
      <c r="E99" s="56"/>
      <c r="F99" s="47"/>
      <c r="G99" s="47"/>
      <c r="H99" s="47"/>
      <c r="I99" s="48" t="str">
        <f t="shared" si="2"/>
        <v/>
      </c>
      <c r="J99" s="48" t="str">
        <f t="shared" si="3"/>
        <v/>
      </c>
    </row>
    <row r="100" spans="1:10" ht="16" x14ac:dyDescent="0.2">
      <c r="A100" s="50"/>
      <c r="B100" s="47"/>
      <c r="C100" s="47"/>
      <c r="D100" s="47"/>
      <c r="E100" s="56"/>
      <c r="F100" s="47"/>
      <c r="G100" s="47"/>
      <c r="H100" s="47"/>
      <c r="I100" s="48" t="str">
        <f t="shared" si="2"/>
        <v/>
      </c>
      <c r="J100" s="48" t="str">
        <f t="shared" si="3"/>
        <v/>
      </c>
    </row>
    <row r="101" spans="1:10" ht="16" x14ac:dyDescent="0.2">
      <c r="A101" s="50"/>
      <c r="B101" s="47"/>
      <c r="C101" s="47"/>
      <c r="D101" s="47"/>
      <c r="E101" s="56"/>
      <c r="F101" s="47"/>
      <c r="G101" s="47"/>
      <c r="H101" s="47"/>
      <c r="I101" s="48" t="str">
        <f t="shared" si="2"/>
        <v/>
      </c>
      <c r="J101" s="48" t="str">
        <f t="shared" si="3"/>
        <v/>
      </c>
    </row>
    <row r="102" spans="1:10" ht="16" x14ac:dyDescent="0.2">
      <c r="A102" s="50"/>
      <c r="B102" s="47"/>
      <c r="C102" s="47"/>
      <c r="D102" s="47"/>
      <c r="E102" s="56"/>
      <c r="F102" s="47"/>
      <c r="G102" s="47"/>
      <c r="H102" s="47"/>
      <c r="I102" s="48" t="str">
        <f t="shared" si="2"/>
        <v/>
      </c>
      <c r="J102" s="48" t="str">
        <f t="shared" si="3"/>
        <v/>
      </c>
    </row>
    <row r="103" spans="1:10" ht="16" x14ac:dyDescent="0.2">
      <c r="A103" s="50"/>
      <c r="B103" s="47"/>
      <c r="C103" s="47"/>
      <c r="D103" s="47"/>
      <c r="E103" s="56"/>
      <c r="F103" s="47"/>
      <c r="G103" s="47"/>
      <c r="H103" s="47"/>
      <c r="I103" s="48" t="str">
        <f t="shared" si="2"/>
        <v/>
      </c>
      <c r="J103" s="48" t="str">
        <f t="shared" si="3"/>
        <v/>
      </c>
    </row>
    <row r="104" spans="1:10" ht="16" x14ac:dyDescent="0.2">
      <c r="A104" s="50"/>
      <c r="B104" s="47"/>
      <c r="C104" s="47"/>
      <c r="D104" s="47"/>
      <c r="E104" s="56"/>
      <c r="F104" s="47"/>
      <c r="G104" s="47"/>
      <c r="H104" s="47"/>
      <c r="I104" s="48" t="str">
        <f t="shared" si="2"/>
        <v/>
      </c>
      <c r="J104" s="48" t="str">
        <f t="shared" si="3"/>
        <v/>
      </c>
    </row>
    <row r="105" spans="1:10" ht="16" x14ac:dyDescent="0.2">
      <c r="A105" s="50"/>
      <c r="B105" s="47"/>
      <c r="C105" s="47"/>
      <c r="D105" s="47"/>
      <c r="E105" s="56"/>
      <c r="F105" s="47"/>
      <c r="G105" s="47"/>
      <c r="H105" s="47"/>
      <c r="I105" s="48" t="str">
        <f t="shared" si="2"/>
        <v/>
      </c>
      <c r="J105" s="48" t="str">
        <f t="shared" si="3"/>
        <v/>
      </c>
    </row>
    <row r="106" spans="1:10" ht="16" x14ac:dyDescent="0.2">
      <c r="A106" s="50"/>
      <c r="B106" s="47"/>
      <c r="C106" s="47"/>
      <c r="D106" s="47"/>
      <c r="E106" s="56"/>
      <c r="F106" s="47"/>
      <c r="G106" s="47"/>
      <c r="H106" s="47"/>
      <c r="I106" s="48" t="str">
        <f t="shared" si="2"/>
        <v/>
      </c>
      <c r="J106" s="48" t="str">
        <f t="shared" si="3"/>
        <v/>
      </c>
    </row>
    <row r="107" spans="1:10" ht="16" x14ac:dyDescent="0.2">
      <c r="A107" s="50"/>
      <c r="B107" s="47"/>
      <c r="C107" s="47"/>
      <c r="D107" s="47"/>
      <c r="E107" s="56"/>
      <c r="F107" s="47"/>
      <c r="G107" s="47"/>
      <c r="H107" s="47"/>
      <c r="I107" s="48" t="str">
        <f t="shared" si="2"/>
        <v/>
      </c>
      <c r="J107" s="48" t="str">
        <f t="shared" si="3"/>
        <v/>
      </c>
    </row>
    <row r="108" spans="1:10" ht="16" x14ac:dyDescent="0.2">
      <c r="A108" s="50"/>
      <c r="B108" s="47"/>
      <c r="C108" s="47"/>
      <c r="D108" s="47"/>
      <c r="E108" s="56"/>
      <c r="F108" s="47"/>
      <c r="G108" s="47"/>
      <c r="H108" s="47"/>
      <c r="I108" s="48" t="str">
        <f t="shared" si="2"/>
        <v/>
      </c>
      <c r="J108" s="48" t="str">
        <f t="shared" si="3"/>
        <v/>
      </c>
    </row>
    <row r="109" spans="1:10" ht="16" x14ac:dyDescent="0.2">
      <c r="A109" s="50"/>
      <c r="B109" s="47"/>
      <c r="C109" s="47"/>
      <c r="D109" s="47"/>
      <c r="E109" s="56"/>
      <c r="F109" s="47"/>
      <c r="G109" s="47"/>
      <c r="H109" s="47"/>
      <c r="I109" s="48" t="str">
        <f t="shared" si="2"/>
        <v/>
      </c>
      <c r="J109" s="48" t="str">
        <f t="shared" si="3"/>
        <v/>
      </c>
    </row>
    <row r="110" spans="1:10" ht="16" x14ac:dyDescent="0.2">
      <c r="A110" s="50"/>
      <c r="B110" s="47"/>
      <c r="C110" s="47"/>
      <c r="D110" s="47"/>
      <c r="E110" s="56"/>
      <c r="F110" s="47"/>
      <c r="G110" s="47"/>
      <c r="H110" s="47"/>
      <c r="I110" s="48" t="str">
        <f t="shared" si="2"/>
        <v/>
      </c>
      <c r="J110" s="48" t="str">
        <f t="shared" si="3"/>
        <v/>
      </c>
    </row>
    <row r="111" spans="1:10" ht="16" x14ac:dyDescent="0.2">
      <c r="A111" s="50"/>
      <c r="B111" s="47"/>
      <c r="C111" s="47"/>
      <c r="D111" s="47"/>
      <c r="E111" s="56"/>
      <c r="F111" s="47"/>
      <c r="G111" s="47"/>
      <c r="H111" s="47"/>
      <c r="I111" s="48" t="str">
        <f t="shared" si="2"/>
        <v/>
      </c>
      <c r="J111" s="48" t="str">
        <f t="shared" si="3"/>
        <v/>
      </c>
    </row>
    <row r="112" spans="1:10" ht="16" x14ac:dyDescent="0.2">
      <c r="A112" s="50"/>
      <c r="B112" s="47"/>
      <c r="C112" s="47"/>
      <c r="D112" s="47"/>
      <c r="E112" s="56"/>
      <c r="F112" s="47"/>
      <c r="G112" s="47"/>
      <c r="H112" s="47"/>
      <c r="I112" s="48" t="str">
        <f t="shared" si="2"/>
        <v/>
      </c>
      <c r="J112" s="48" t="str">
        <f t="shared" si="3"/>
        <v/>
      </c>
    </row>
    <row r="113" spans="1:10" ht="16" x14ac:dyDescent="0.2">
      <c r="A113" s="50"/>
      <c r="B113" s="47"/>
      <c r="C113" s="47"/>
      <c r="D113" s="47"/>
      <c r="E113" s="56"/>
      <c r="F113" s="47"/>
      <c r="G113" s="47"/>
      <c r="H113" s="47"/>
      <c r="I113" s="48" t="str">
        <f t="shared" si="2"/>
        <v/>
      </c>
      <c r="J113" s="48" t="str">
        <f t="shared" si="3"/>
        <v/>
      </c>
    </row>
    <row r="114" spans="1:10" ht="16" x14ac:dyDescent="0.2">
      <c r="A114" s="50"/>
      <c r="B114" s="47"/>
      <c r="C114" s="47"/>
      <c r="D114" s="47"/>
      <c r="E114" s="56"/>
      <c r="F114" s="47"/>
      <c r="G114" s="47"/>
      <c r="H114" s="47"/>
      <c r="I114" s="48" t="str">
        <f t="shared" si="2"/>
        <v/>
      </c>
      <c r="J114" s="48" t="str">
        <f t="shared" si="3"/>
        <v/>
      </c>
    </row>
    <row r="115" spans="1:10" ht="16" x14ac:dyDescent="0.2">
      <c r="A115" s="50"/>
      <c r="B115" s="47"/>
      <c r="C115" s="47"/>
      <c r="D115" s="47"/>
      <c r="E115" s="56"/>
      <c r="F115" s="47"/>
      <c r="G115" s="47"/>
      <c r="H115" s="47"/>
      <c r="I115" s="48" t="str">
        <f t="shared" si="2"/>
        <v/>
      </c>
      <c r="J115" s="48" t="str">
        <f t="shared" si="3"/>
        <v/>
      </c>
    </row>
    <row r="116" spans="1:10" ht="16" x14ac:dyDescent="0.2">
      <c r="A116" s="50"/>
      <c r="B116" s="47"/>
      <c r="C116" s="47"/>
      <c r="D116" s="47"/>
      <c r="E116" s="56"/>
      <c r="F116" s="47"/>
      <c r="G116" s="47"/>
      <c r="H116" s="47"/>
      <c r="I116" s="48" t="str">
        <f t="shared" si="2"/>
        <v/>
      </c>
      <c r="J116" s="48" t="str">
        <f t="shared" si="3"/>
        <v/>
      </c>
    </row>
    <row r="117" spans="1:10" ht="16" x14ac:dyDescent="0.2">
      <c r="A117" s="50"/>
      <c r="B117" s="47"/>
      <c r="C117" s="47"/>
      <c r="D117" s="47"/>
      <c r="E117" s="56"/>
      <c r="F117" s="47"/>
      <c r="G117" s="47"/>
      <c r="H117" s="47"/>
      <c r="I117" s="48" t="str">
        <f t="shared" si="2"/>
        <v/>
      </c>
      <c r="J117" s="48" t="str">
        <f t="shared" si="3"/>
        <v/>
      </c>
    </row>
    <row r="118" spans="1:10" ht="16" x14ac:dyDescent="0.2">
      <c r="A118" s="50"/>
      <c r="B118" s="47"/>
      <c r="C118" s="47"/>
      <c r="D118" s="47"/>
      <c r="E118" s="56"/>
      <c r="F118" s="47"/>
      <c r="G118" s="47"/>
      <c r="H118" s="47"/>
      <c r="I118" s="48" t="str">
        <f t="shared" si="2"/>
        <v/>
      </c>
      <c r="J118" s="48" t="str">
        <f t="shared" si="3"/>
        <v/>
      </c>
    </row>
    <row r="119" spans="1:10" ht="16" x14ac:dyDescent="0.2">
      <c r="A119" s="50"/>
      <c r="B119" s="47"/>
      <c r="C119" s="47"/>
      <c r="D119" s="47"/>
      <c r="E119" s="56"/>
      <c r="F119" s="47"/>
      <c r="G119" s="47"/>
      <c r="H119" s="47"/>
      <c r="I119" s="48" t="str">
        <f t="shared" si="2"/>
        <v/>
      </c>
      <c r="J119" s="48" t="str">
        <f t="shared" si="3"/>
        <v/>
      </c>
    </row>
    <row r="120" spans="1:10" ht="16" x14ac:dyDescent="0.2">
      <c r="A120" s="50"/>
      <c r="B120" s="47"/>
      <c r="C120" s="47"/>
      <c r="D120" s="47"/>
      <c r="E120" s="56"/>
      <c r="F120" s="47"/>
      <c r="G120" s="47"/>
      <c r="H120" s="47"/>
      <c r="I120" s="48" t="str">
        <f t="shared" si="2"/>
        <v/>
      </c>
      <c r="J120" s="48" t="str">
        <f t="shared" si="3"/>
        <v/>
      </c>
    </row>
    <row r="121" spans="1:10" ht="16" x14ac:dyDescent="0.2">
      <c r="A121" s="50"/>
      <c r="B121" s="47"/>
      <c r="C121" s="47"/>
      <c r="D121" s="47"/>
      <c r="E121" s="56"/>
      <c r="F121" s="47"/>
      <c r="G121" s="47"/>
      <c r="H121" s="47"/>
      <c r="I121" s="48" t="str">
        <f t="shared" si="2"/>
        <v/>
      </c>
      <c r="J121" s="48" t="str">
        <f t="shared" si="3"/>
        <v/>
      </c>
    </row>
    <row r="122" spans="1:10" ht="16" x14ac:dyDescent="0.2">
      <c r="A122" s="50"/>
      <c r="B122" s="47"/>
      <c r="C122" s="47"/>
      <c r="D122" s="47"/>
      <c r="E122" s="56"/>
      <c r="F122" s="47"/>
      <c r="G122" s="47"/>
      <c r="H122" s="47"/>
      <c r="I122" s="48" t="str">
        <f t="shared" si="2"/>
        <v/>
      </c>
      <c r="J122" s="48" t="str">
        <f t="shared" si="3"/>
        <v/>
      </c>
    </row>
    <row r="123" spans="1:10" ht="16" x14ac:dyDescent="0.2">
      <c r="A123" s="50"/>
      <c r="B123" s="47"/>
      <c r="C123" s="47"/>
      <c r="D123" s="47"/>
      <c r="E123" s="56"/>
      <c r="F123" s="47"/>
      <c r="G123" s="47"/>
      <c r="H123" s="47"/>
      <c r="I123" s="48" t="str">
        <f t="shared" si="2"/>
        <v/>
      </c>
      <c r="J123" s="48" t="str">
        <f t="shared" si="3"/>
        <v/>
      </c>
    </row>
    <row r="124" spans="1:10" ht="16" x14ac:dyDescent="0.2">
      <c r="A124" s="50"/>
      <c r="B124" s="47"/>
      <c r="C124" s="47"/>
      <c r="D124" s="47"/>
      <c r="E124" s="56"/>
      <c r="F124" s="47"/>
      <c r="G124" s="47"/>
      <c r="H124" s="47"/>
      <c r="I124" s="48" t="str">
        <f t="shared" si="2"/>
        <v/>
      </c>
      <c r="J124" s="48" t="str">
        <f t="shared" si="3"/>
        <v/>
      </c>
    </row>
    <row r="125" spans="1:10" ht="16" x14ac:dyDescent="0.2">
      <c r="A125" s="50"/>
      <c r="B125" s="47"/>
      <c r="C125" s="47"/>
      <c r="D125" s="47"/>
      <c r="E125" s="56"/>
      <c r="F125" s="47"/>
      <c r="G125" s="47"/>
      <c r="H125" s="47"/>
      <c r="I125" s="48" t="str">
        <f t="shared" si="2"/>
        <v/>
      </c>
      <c r="J125" s="48" t="str">
        <f t="shared" si="3"/>
        <v/>
      </c>
    </row>
    <row r="126" spans="1:10" ht="16" x14ac:dyDescent="0.2">
      <c r="A126" s="50"/>
      <c r="B126" s="47"/>
      <c r="C126" s="47"/>
      <c r="D126" s="47"/>
      <c r="E126" s="56"/>
      <c r="F126" s="47"/>
      <c r="G126" s="47"/>
      <c r="H126" s="47"/>
      <c r="I126" s="48" t="str">
        <f t="shared" si="2"/>
        <v/>
      </c>
      <c r="J126" s="48" t="str">
        <f t="shared" si="3"/>
        <v/>
      </c>
    </row>
    <row r="127" spans="1:10" ht="16" x14ac:dyDescent="0.2">
      <c r="A127" s="50"/>
      <c r="B127" s="47"/>
      <c r="C127" s="47"/>
      <c r="D127" s="47"/>
      <c r="E127" s="56"/>
      <c r="F127" s="47"/>
      <c r="G127" s="47"/>
      <c r="H127" s="47"/>
      <c r="I127" s="48" t="str">
        <f t="shared" si="2"/>
        <v/>
      </c>
      <c r="J127" s="48" t="str">
        <f t="shared" si="3"/>
        <v/>
      </c>
    </row>
    <row r="128" spans="1:10" ht="16" x14ac:dyDescent="0.2">
      <c r="A128" s="50"/>
      <c r="B128" s="47"/>
      <c r="C128" s="47"/>
      <c r="D128" s="47"/>
      <c r="E128" s="56"/>
      <c r="F128" s="47"/>
      <c r="G128" s="47"/>
      <c r="H128" s="47"/>
      <c r="I128" s="48" t="str">
        <f t="shared" si="2"/>
        <v/>
      </c>
      <c r="J128" s="48" t="str">
        <f t="shared" si="3"/>
        <v/>
      </c>
    </row>
    <row r="129" spans="1:10" ht="16" x14ac:dyDescent="0.2">
      <c r="A129" s="50"/>
      <c r="B129" s="47"/>
      <c r="C129" s="47"/>
      <c r="D129" s="47"/>
      <c r="E129" s="56"/>
      <c r="F129" s="47"/>
      <c r="G129" s="47"/>
      <c r="H129" s="47"/>
      <c r="I129" s="48" t="str">
        <f t="shared" si="2"/>
        <v/>
      </c>
      <c r="J129" s="48" t="str">
        <f t="shared" si="3"/>
        <v/>
      </c>
    </row>
    <row r="130" spans="1:10" ht="16" x14ac:dyDescent="0.2">
      <c r="A130" s="50"/>
      <c r="B130" s="47"/>
      <c r="C130" s="47"/>
      <c r="D130" s="47"/>
      <c r="E130" s="56"/>
      <c r="F130" s="47"/>
      <c r="G130" s="47"/>
      <c r="H130" s="47"/>
      <c r="I130" s="48" t="str">
        <f t="shared" si="2"/>
        <v/>
      </c>
      <c r="J130" s="48" t="str">
        <f t="shared" si="3"/>
        <v/>
      </c>
    </row>
    <row r="131" spans="1:10" ht="16" x14ac:dyDescent="0.2">
      <c r="A131" s="50"/>
      <c r="B131" s="47"/>
      <c r="C131" s="47"/>
      <c r="D131" s="47"/>
      <c r="E131" s="56"/>
      <c r="F131" s="47"/>
      <c r="G131" s="47"/>
      <c r="H131" s="47"/>
      <c r="I131" s="48" t="str">
        <f t="shared" si="2"/>
        <v/>
      </c>
      <c r="J131" s="48" t="str">
        <f t="shared" si="3"/>
        <v/>
      </c>
    </row>
    <row r="132" spans="1:10" ht="16" x14ac:dyDescent="0.2">
      <c r="A132" s="50"/>
      <c r="B132" s="47"/>
      <c r="C132" s="47"/>
      <c r="D132" s="47"/>
      <c r="E132" s="56"/>
      <c r="F132" s="47"/>
      <c r="G132" s="47"/>
      <c r="H132" s="47"/>
      <c r="I132" s="48" t="str">
        <f t="shared" si="2"/>
        <v/>
      </c>
      <c r="J132" s="48" t="str">
        <f t="shared" si="3"/>
        <v/>
      </c>
    </row>
    <row r="133" spans="1:10" ht="16" x14ac:dyDescent="0.2">
      <c r="A133" s="50"/>
      <c r="B133" s="47"/>
      <c r="C133" s="47"/>
      <c r="D133" s="47"/>
      <c r="E133" s="56"/>
      <c r="F133" s="47"/>
      <c r="G133" s="47"/>
      <c r="H133" s="47"/>
      <c r="I133" s="48" t="str">
        <f t="shared" si="2"/>
        <v/>
      </c>
      <c r="J133" s="48" t="str">
        <f t="shared" si="3"/>
        <v/>
      </c>
    </row>
    <row r="134" spans="1:10" ht="16" x14ac:dyDescent="0.2">
      <c r="A134" s="50"/>
      <c r="B134" s="47"/>
      <c r="C134" s="47"/>
      <c r="D134" s="47"/>
      <c r="E134" s="56"/>
      <c r="F134" s="47"/>
      <c r="G134" s="47"/>
      <c r="H134" s="47"/>
      <c r="I134" s="48" t="str">
        <f t="shared" si="2"/>
        <v/>
      </c>
      <c r="J134" s="48" t="str">
        <f t="shared" si="3"/>
        <v/>
      </c>
    </row>
    <row r="135" spans="1:10" ht="16" x14ac:dyDescent="0.2">
      <c r="A135" s="50"/>
      <c r="B135" s="47"/>
      <c r="C135" s="47"/>
      <c r="D135" s="47"/>
      <c r="E135" s="56"/>
      <c r="F135" s="47"/>
      <c r="G135" s="47"/>
      <c r="H135" s="47"/>
      <c r="I135" s="48" t="str">
        <f t="shared" ref="I135:I198" si="4">IF(OR(A135="",E135=""),"",YEAR(A135))</f>
        <v/>
      </c>
      <c r="J135" s="48" t="str">
        <f t="shared" ref="J135:J198" si="5">IF(OR(A135="",E135=""),"",YEAR(A135)*100+MONTH(A135))</f>
        <v/>
      </c>
    </row>
    <row r="136" spans="1:10" ht="16" x14ac:dyDescent="0.2">
      <c r="A136" s="50"/>
      <c r="B136" s="47"/>
      <c r="C136" s="47"/>
      <c r="D136" s="47"/>
      <c r="E136" s="56"/>
      <c r="F136" s="47"/>
      <c r="G136" s="47"/>
      <c r="H136" s="47"/>
      <c r="I136" s="48" t="str">
        <f t="shared" si="4"/>
        <v/>
      </c>
      <c r="J136" s="48" t="str">
        <f t="shared" si="5"/>
        <v/>
      </c>
    </row>
    <row r="137" spans="1:10" ht="16" x14ac:dyDescent="0.2">
      <c r="A137" s="50"/>
      <c r="B137" s="47"/>
      <c r="C137" s="47"/>
      <c r="D137" s="47"/>
      <c r="E137" s="56"/>
      <c r="F137" s="47"/>
      <c r="G137" s="47"/>
      <c r="H137" s="47"/>
      <c r="I137" s="48" t="str">
        <f t="shared" si="4"/>
        <v/>
      </c>
      <c r="J137" s="48" t="str">
        <f t="shared" si="5"/>
        <v/>
      </c>
    </row>
    <row r="138" spans="1:10" ht="16" x14ac:dyDescent="0.2">
      <c r="A138" s="50"/>
      <c r="B138" s="47"/>
      <c r="C138" s="47"/>
      <c r="D138" s="47"/>
      <c r="E138" s="56"/>
      <c r="F138" s="47"/>
      <c r="G138" s="47"/>
      <c r="H138" s="47"/>
      <c r="I138" s="48" t="str">
        <f t="shared" si="4"/>
        <v/>
      </c>
      <c r="J138" s="48" t="str">
        <f t="shared" si="5"/>
        <v/>
      </c>
    </row>
    <row r="139" spans="1:10" ht="16" x14ac:dyDescent="0.2">
      <c r="A139" s="50"/>
      <c r="B139" s="47"/>
      <c r="C139" s="47"/>
      <c r="D139" s="47"/>
      <c r="E139" s="56"/>
      <c r="F139" s="47"/>
      <c r="G139" s="47"/>
      <c r="H139" s="47"/>
      <c r="I139" s="48" t="str">
        <f t="shared" si="4"/>
        <v/>
      </c>
      <c r="J139" s="48" t="str">
        <f t="shared" si="5"/>
        <v/>
      </c>
    </row>
    <row r="140" spans="1:10" ht="16" x14ac:dyDescent="0.2">
      <c r="A140" s="50"/>
      <c r="B140" s="47"/>
      <c r="C140" s="47"/>
      <c r="D140" s="47"/>
      <c r="E140" s="56"/>
      <c r="F140" s="47"/>
      <c r="G140" s="47"/>
      <c r="H140" s="47"/>
      <c r="I140" s="48" t="str">
        <f t="shared" si="4"/>
        <v/>
      </c>
      <c r="J140" s="48" t="str">
        <f t="shared" si="5"/>
        <v/>
      </c>
    </row>
    <row r="141" spans="1:10" ht="16" x14ac:dyDescent="0.2">
      <c r="A141" s="50"/>
      <c r="B141" s="47"/>
      <c r="C141" s="47"/>
      <c r="D141" s="47"/>
      <c r="E141" s="56"/>
      <c r="F141" s="47"/>
      <c r="G141" s="47"/>
      <c r="H141" s="47"/>
      <c r="I141" s="48" t="str">
        <f t="shared" si="4"/>
        <v/>
      </c>
      <c r="J141" s="48" t="str">
        <f t="shared" si="5"/>
        <v/>
      </c>
    </row>
    <row r="142" spans="1:10" ht="16" x14ac:dyDescent="0.2">
      <c r="A142" s="50"/>
      <c r="B142" s="47"/>
      <c r="C142" s="47"/>
      <c r="D142" s="47"/>
      <c r="E142" s="56"/>
      <c r="F142" s="47"/>
      <c r="G142" s="47"/>
      <c r="H142" s="47"/>
      <c r="I142" s="48" t="str">
        <f t="shared" si="4"/>
        <v/>
      </c>
      <c r="J142" s="48" t="str">
        <f t="shared" si="5"/>
        <v/>
      </c>
    </row>
    <row r="143" spans="1:10" ht="16" x14ac:dyDescent="0.2">
      <c r="A143" s="50"/>
      <c r="B143" s="47"/>
      <c r="C143" s="47"/>
      <c r="D143" s="47"/>
      <c r="E143" s="56"/>
      <c r="F143" s="47"/>
      <c r="G143" s="47"/>
      <c r="H143" s="47"/>
      <c r="I143" s="48" t="str">
        <f t="shared" si="4"/>
        <v/>
      </c>
      <c r="J143" s="48" t="str">
        <f t="shared" si="5"/>
        <v/>
      </c>
    </row>
    <row r="144" spans="1:10" ht="16" x14ac:dyDescent="0.2">
      <c r="A144" s="50"/>
      <c r="B144" s="47"/>
      <c r="C144" s="47"/>
      <c r="D144" s="47"/>
      <c r="E144" s="56"/>
      <c r="F144" s="47"/>
      <c r="G144" s="47"/>
      <c r="H144" s="47"/>
      <c r="I144" s="48" t="str">
        <f t="shared" si="4"/>
        <v/>
      </c>
      <c r="J144" s="48" t="str">
        <f t="shared" si="5"/>
        <v/>
      </c>
    </row>
    <row r="145" spans="1:10" ht="16" x14ac:dyDescent="0.2">
      <c r="A145" s="50"/>
      <c r="B145" s="47"/>
      <c r="C145" s="47"/>
      <c r="D145" s="47"/>
      <c r="E145" s="56"/>
      <c r="F145" s="47"/>
      <c r="G145" s="47"/>
      <c r="H145" s="47"/>
      <c r="I145" s="48" t="str">
        <f t="shared" si="4"/>
        <v/>
      </c>
      <c r="J145" s="48" t="str">
        <f t="shared" si="5"/>
        <v/>
      </c>
    </row>
    <row r="146" spans="1:10" ht="16" x14ac:dyDescent="0.2">
      <c r="A146" s="50"/>
      <c r="B146" s="47"/>
      <c r="C146" s="47"/>
      <c r="D146" s="47"/>
      <c r="E146" s="56"/>
      <c r="F146" s="47"/>
      <c r="G146" s="47"/>
      <c r="H146" s="47"/>
      <c r="I146" s="48" t="str">
        <f t="shared" si="4"/>
        <v/>
      </c>
      <c r="J146" s="48" t="str">
        <f t="shared" si="5"/>
        <v/>
      </c>
    </row>
    <row r="147" spans="1:10" ht="16" x14ac:dyDescent="0.2">
      <c r="A147" s="50"/>
      <c r="B147" s="47"/>
      <c r="C147" s="47"/>
      <c r="D147" s="47"/>
      <c r="E147" s="56"/>
      <c r="F147" s="47"/>
      <c r="G147" s="47"/>
      <c r="H147" s="47"/>
      <c r="I147" s="48" t="str">
        <f t="shared" si="4"/>
        <v/>
      </c>
      <c r="J147" s="48" t="str">
        <f t="shared" si="5"/>
        <v/>
      </c>
    </row>
    <row r="148" spans="1:10" ht="16" x14ac:dyDescent="0.2">
      <c r="A148" s="50"/>
      <c r="B148" s="47"/>
      <c r="C148" s="47"/>
      <c r="D148" s="47"/>
      <c r="E148" s="56"/>
      <c r="F148" s="47"/>
      <c r="G148" s="47"/>
      <c r="H148" s="47"/>
      <c r="I148" s="48" t="str">
        <f t="shared" si="4"/>
        <v/>
      </c>
      <c r="J148" s="48" t="str">
        <f t="shared" si="5"/>
        <v/>
      </c>
    </row>
    <row r="149" spans="1:10" ht="16" x14ac:dyDescent="0.2">
      <c r="A149" s="50"/>
      <c r="B149" s="47"/>
      <c r="C149" s="47"/>
      <c r="D149" s="47"/>
      <c r="E149" s="56"/>
      <c r="F149" s="47"/>
      <c r="G149" s="47"/>
      <c r="H149" s="47"/>
      <c r="I149" s="48" t="str">
        <f t="shared" si="4"/>
        <v/>
      </c>
      <c r="J149" s="48" t="str">
        <f t="shared" si="5"/>
        <v/>
      </c>
    </row>
    <row r="150" spans="1:10" ht="16" x14ac:dyDescent="0.2">
      <c r="A150" s="50"/>
      <c r="B150" s="47"/>
      <c r="C150" s="47"/>
      <c r="D150" s="47"/>
      <c r="E150" s="56"/>
      <c r="F150" s="47"/>
      <c r="G150" s="47"/>
      <c r="H150" s="47"/>
      <c r="I150" s="48" t="str">
        <f t="shared" si="4"/>
        <v/>
      </c>
      <c r="J150" s="48" t="str">
        <f t="shared" si="5"/>
        <v/>
      </c>
    </row>
    <row r="151" spans="1:10" ht="16" x14ac:dyDescent="0.2">
      <c r="A151" s="50"/>
      <c r="B151" s="47"/>
      <c r="C151" s="47"/>
      <c r="D151" s="47"/>
      <c r="E151" s="56"/>
      <c r="F151" s="47"/>
      <c r="G151" s="47"/>
      <c r="H151" s="47"/>
      <c r="I151" s="48" t="str">
        <f t="shared" si="4"/>
        <v/>
      </c>
      <c r="J151" s="48" t="str">
        <f t="shared" si="5"/>
        <v/>
      </c>
    </row>
    <row r="152" spans="1:10" ht="16" x14ac:dyDescent="0.2">
      <c r="A152" s="50"/>
      <c r="B152" s="47"/>
      <c r="C152" s="47"/>
      <c r="D152" s="47"/>
      <c r="E152" s="56"/>
      <c r="F152" s="47"/>
      <c r="G152" s="47"/>
      <c r="H152" s="47"/>
      <c r="I152" s="48" t="str">
        <f t="shared" si="4"/>
        <v/>
      </c>
      <c r="J152" s="48" t="str">
        <f t="shared" si="5"/>
        <v/>
      </c>
    </row>
    <row r="153" spans="1:10" ht="16" x14ac:dyDescent="0.2">
      <c r="A153" s="50"/>
      <c r="B153" s="47"/>
      <c r="C153" s="47"/>
      <c r="D153" s="47"/>
      <c r="E153" s="56"/>
      <c r="F153" s="47"/>
      <c r="G153" s="47"/>
      <c r="H153" s="47"/>
      <c r="I153" s="48" t="str">
        <f t="shared" si="4"/>
        <v/>
      </c>
      <c r="J153" s="48" t="str">
        <f t="shared" si="5"/>
        <v/>
      </c>
    </row>
    <row r="154" spans="1:10" ht="16" x14ac:dyDescent="0.2">
      <c r="A154" s="50"/>
      <c r="B154" s="47"/>
      <c r="C154" s="47"/>
      <c r="D154" s="47"/>
      <c r="E154" s="56"/>
      <c r="F154" s="47"/>
      <c r="G154" s="47"/>
      <c r="H154" s="47"/>
      <c r="I154" s="48" t="str">
        <f t="shared" si="4"/>
        <v/>
      </c>
      <c r="J154" s="48" t="str">
        <f t="shared" si="5"/>
        <v/>
      </c>
    </row>
    <row r="155" spans="1:10" ht="16" x14ac:dyDescent="0.2">
      <c r="A155" s="50"/>
      <c r="B155" s="47"/>
      <c r="C155" s="47"/>
      <c r="D155" s="47"/>
      <c r="E155" s="56"/>
      <c r="F155" s="47"/>
      <c r="G155" s="47"/>
      <c r="H155" s="47"/>
      <c r="I155" s="48" t="str">
        <f t="shared" si="4"/>
        <v/>
      </c>
      <c r="J155" s="48" t="str">
        <f t="shared" si="5"/>
        <v/>
      </c>
    </row>
    <row r="156" spans="1:10" ht="16" x14ac:dyDescent="0.2">
      <c r="A156" s="50"/>
      <c r="B156" s="47"/>
      <c r="C156" s="47"/>
      <c r="D156" s="47"/>
      <c r="E156" s="56"/>
      <c r="F156" s="47"/>
      <c r="G156" s="47"/>
      <c r="H156" s="47"/>
      <c r="I156" s="48" t="str">
        <f t="shared" si="4"/>
        <v/>
      </c>
      <c r="J156" s="48" t="str">
        <f t="shared" si="5"/>
        <v/>
      </c>
    </row>
    <row r="157" spans="1:10" ht="16" x14ac:dyDescent="0.2">
      <c r="A157" s="50"/>
      <c r="B157" s="47"/>
      <c r="C157" s="47"/>
      <c r="D157" s="47"/>
      <c r="E157" s="56"/>
      <c r="F157" s="47"/>
      <c r="G157" s="47"/>
      <c r="H157" s="47"/>
      <c r="I157" s="48" t="str">
        <f t="shared" si="4"/>
        <v/>
      </c>
      <c r="J157" s="48" t="str">
        <f t="shared" si="5"/>
        <v/>
      </c>
    </row>
    <row r="158" spans="1:10" ht="16" x14ac:dyDescent="0.2">
      <c r="A158" s="50"/>
      <c r="B158" s="47"/>
      <c r="C158" s="47"/>
      <c r="D158" s="47"/>
      <c r="E158" s="56"/>
      <c r="F158" s="47"/>
      <c r="G158" s="47"/>
      <c r="H158" s="47"/>
      <c r="I158" s="48" t="str">
        <f t="shared" si="4"/>
        <v/>
      </c>
      <c r="J158" s="48" t="str">
        <f t="shared" si="5"/>
        <v/>
      </c>
    </row>
    <row r="159" spans="1:10" ht="16" x14ac:dyDescent="0.2">
      <c r="A159" s="50"/>
      <c r="B159" s="47"/>
      <c r="C159" s="47"/>
      <c r="D159" s="47"/>
      <c r="E159" s="56"/>
      <c r="F159" s="47"/>
      <c r="G159" s="47"/>
      <c r="H159" s="47"/>
      <c r="I159" s="48" t="str">
        <f t="shared" si="4"/>
        <v/>
      </c>
      <c r="J159" s="48" t="str">
        <f t="shared" si="5"/>
        <v/>
      </c>
    </row>
    <row r="160" spans="1:10" ht="16" x14ac:dyDescent="0.2">
      <c r="A160" s="50"/>
      <c r="B160" s="47"/>
      <c r="C160" s="47"/>
      <c r="D160" s="47"/>
      <c r="E160" s="56"/>
      <c r="F160" s="47"/>
      <c r="G160" s="47"/>
      <c r="H160" s="47"/>
      <c r="I160" s="48" t="str">
        <f t="shared" si="4"/>
        <v/>
      </c>
      <c r="J160" s="48" t="str">
        <f t="shared" si="5"/>
        <v/>
      </c>
    </row>
    <row r="161" spans="1:10" ht="16" x14ac:dyDescent="0.2">
      <c r="A161" s="50"/>
      <c r="B161" s="47"/>
      <c r="C161" s="47"/>
      <c r="D161" s="47"/>
      <c r="E161" s="56"/>
      <c r="F161" s="47"/>
      <c r="G161" s="47"/>
      <c r="H161" s="47"/>
      <c r="I161" s="48" t="str">
        <f t="shared" si="4"/>
        <v/>
      </c>
      <c r="J161" s="48" t="str">
        <f t="shared" si="5"/>
        <v/>
      </c>
    </row>
    <row r="162" spans="1:10" ht="16" x14ac:dyDescent="0.2">
      <c r="A162" s="50"/>
      <c r="B162" s="47"/>
      <c r="C162" s="47"/>
      <c r="D162" s="47"/>
      <c r="E162" s="56"/>
      <c r="F162" s="47"/>
      <c r="G162" s="47"/>
      <c r="H162" s="47"/>
      <c r="I162" s="48" t="str">
        <f t="shared" si="4"/>
        <v/>
      </c>
      <c r="J162" s="48" t="str">
        <f t="shared" si="5"/>
        <v/>
      </c>
    </row>
    <row r="163" spans="1:10" ht="16" x14ac:dyDescent="0.2">
      <c r="A163" s="50"/>
      <c r="B163" s="47"/>
      <c r="C163" s="47"/>
      <c r="D163" s="47"/>
      <c r="E163" s="56"/>
      <c r="F163" s="47"/>
      <c r="G163" s="47"/>
      <c r="H163" s="47"/>
      <c r="I163" s="48" t="str">
        <f t="shared" si="4"/>
        <v/>
      </c>
      <c r="J163" s="48" t="str">
        <f t="shared" si="5"/>
        <v/>
      </c>
    </row>
    <row r="164" spans="1:10" ht="16" x14ac:dyDescent="0.2">
      <c r="A164" s="50"/>
      <c r="B164" s="47"/>
      <c r="C164" s="47"/>
      <c r="D164" s="47"/>
      <c r="E164" s="56"/>
      <c r="F164" s="47"/>
      <c r="G164" s="47"/>
      <c r="H164" s="47"/>
      <c r="I164" s="48" t="str">
        <f t="shared" si="4"/>
        <v/>
      </c>
      <c r="J164" s="48" t="str">
        <f t="shared" si="5"/>
        <v/>
      </c>
    </row>
    <row r="165" spans="1:10" ht="16" x14ac:dyDescent="0.2">
      <c r="A165" s="50"/>
      <c r="B165" s="47"/>
      <c r="C165" s="47"/>
      <c r="D165" s="47"/>
      <c r="E165" s="56"/>
      <c r="F165" s="47"/>
      <c r="G165" s="47"/>
      <c r="H165" s="47"/>
      <c r="I165" s="48" t="str">
        <f t="shared" si="4"/>
        <v/>
      </c>
      <c r="J165" s="48" t="str">
        <f t="shared" si="5"/>
        <v/>
      </c>
    </row>
    <row r="166" spans="1:10" ht="16" x14ac:dyDescent="0.2">
      <c r="A166" s="50"/>
      <c r="B166" s="47"/>
      <c r="C166" s="47"/>
      <c r="D166" s="47"/>
      <c r="E166" s="56"/>
      <c r="F166" s="47"/>
      <c r="G166" s="47"/>
      <c r="H166" s="47"/>
      <c r="I166" s="48" t="str">
        <f t="shared" si="4"/>
        <v/>
      </c>
      <c r="J166" s="48" t="str">
        <f t="shared" si="5"/>
        <v/>
      </c>
    </row>
    <row r="167" spans="1:10" ht="16" x14ac:dyDescent="0.2">
      <c r="A167" s="50"/>
      <c r="B167" s="47"/>
      <c r="C167" s="47"/>
      <c r="D167" s="47"/>
      <c r="E167" s="56"/>
      <c r="F167" s="47"/>
      <c r="G167" s="47"/>
      <c r="H167" s="47"/>
      <c r="I167" s="48" t="str">
        <f t="shared" si="4"/>
        <v/>
      </c>
      <c r="J167" s="48" t="str">
        <f t="shared" si="5"/>
        <v/>
      </c>
    </row>
    <row r="168" spans="1:10" ht="16" x14ac:dyDescent="0.2">
      <c r="A168" s="50"/>
      <c r="B168" s="47"/>
      <c r="C168" s="47"/>
      <c r="D168" s="47"/>
      <c r="E168" s="56"/>
      <c r="F168" s="47"/>
      <c r="G168" s="47"/>
      <c r="H168" s="47"/>
      <c r="I168" s="48" t="str">
        <f t="shared" si="4"/>
        <v/>
      </c>
      <c r="J168" s="48" t="str">
        <f t="shared" si="5"/>
        <v/>
      </c>
    </row>
    <row r="169" spans="1:10" ht="16" x14ac:dyDescent="0.2">
      <c r="A169" s="50"/>
      <c r="B169" s="47"/>
      <c r="C169" s="47"/>
      <c r="D169" s="47"/>
      <c r="E169" s="56"/>
      <c r="F169" s="47"/>
      <c r="G169" s="47"/>
      <c r="H169" s="47"/>
      <c r="I169" s="48" t="str">
        <f t="shared" si="4"/>
        <v/>
      </c>
      <c r="J169" s="48" t="str">
        <f t="shared" si="5"/>
        <v/>
      </c>
    </row>
    <row r="170" spans="1:10" ht="16" x14ac:dyDescent="0.2">
      <c r="A170" s="50"/>
      <c r="B170" s="47"/>
      <c r="C170" s="47"/>
      <c r="D170" s="47"/>
      <c r="E170" s="56"/>
      <c r="F170" s="47"/>
      <c r="G170" s="47"/>
      <c r="H170" s="47"/>
      <c r="I170" s="48" t="str">
        <f t="shared" si="4"/>
        <v/>
      </c>
      <c r="J170" s="48" t="str">
        <f t="shared" si="5"/>
        <v/>
      </c>
    </row>
    <row r="171" spans="1:10" ht="16" x14ac:dyDescent="0.2">
      <c r="A171" s="50"/>
      <c r="B171" s="47"/>
      <c r="C171" s="47"/>
      <c r="D171" s="47"/>
      <c r="E171" s="56"/>
      <c r="F171" s="47"/>
      <c r="G171" s="47"/>
      <c r="H171" s="47"/>
      <c r="I171" s="48" t="str">
        <f t="shared" si="4"/>
        <v/>
      </c>
      <c r="J171" s="48" t="str">
        <f t="shared" si="5"/>
        <v/>
      </c>
    </row>
    <row r="172" spans="1:10" ht="16" x14ac:dyDescent="0.2">
      <c r="A172" s="50"/>
      <c r="B172" s="47"/>
      <c r="C172" s="47"/>
      <c r="D172" s="47"/>
      <c r="E172" s="56"/>
      <c r="F172" s="47"/>
      <c r="G172" s="47"/>
      <c r="H172" s="47"/>
      <c r="I172" s="48" t="str">
        <f t="shared" si="4"/>
        <v/>
      </c>
      <c r="J172" s="48" t="str">
        <f t="shared" si="5"/>
        <v/>
      </c>
    </row>
    <row r="173" spans="1:10" ht="16" x14ac:dyDescent="0.2">
      <c r="A173" s="50"/>
      <c r="B173" s="47"/>
      <c r="C173" s="47"/>
      <c r="D173" s="47"/>
      <c r="E173" s="56"/>
      <c r="F173" s="47"/>
      <c r="G173" s="47"/>
      <c r="H173" s="47"/>
      <c r="I173" s="48" t="str">
        <f t="shared" si="4"/>
        <v/>
      </c>
      <c r="J173" s="48" t="str">
        <f t="shared" si="5"/>
        <v/>
      </c>
    </row>
    <row r="174" spans="1:10" ht="16" x14ac:dyDescent="0.2">
      <c r="A174" s="50"/>
      <c r="B174" s="47"/>
      <c r="C174" s="47"/>
      <c r="D174" s="47"/>
      <c r="E174" s="56"/>
      <c r="F174" s="47"/>
      <c r="G174" s="47"/>
      <c r="H174" s="47"/>
      <c r="I174" s="48" t="str">
        <f t="shared" si="4"/>
        <v/>
      </c>
      <c r="J174" s="48" t="str">
        <f t="shared" si="5"/>
        <v/>
      </c>
    </row>
    <row r="175" spans="1:10" ht="16" x14ac:dyDescent="0.2">
      <c r="A175" s="50"/>
      <c r="B175" s="47"/>
      <c r="C175" s="47"/>
      <c r="D175" s="47"/>
      <c r="E175" s="56"/>
      <c r="F175" s="47"/>
      <c r="G175" s="47"/>
      <c r="H175" s="47"/>
      <c r="I175" s="48" t="str">
        <f t="shared" si="4"/>
        <v/>
      </c>
      <c r="J175" s="48" t="str">
        <f t="shared" si="5"/>
        <v/>
      </c>
    </row>
    <row r="176" spans="1:10" ht="16" x14ac:dyDescent="0.2">
      <c r="A176" s="50"/>
      <c r="B176" s="47"/>
      <c r="C176" s="47"/>
      <c r="D176" s="47"/>
      <c r="E176" s="56"/>
      <c r="F176" s="47"/>
      <c r="G176" s="47"/>
      <c r="H176" s="47"/>
      <c r="I176" s="48" t="str">
        <f t="shared" si="4"/>
        <v/>
      </c>
      <c r="J176" s="48" t="str">
        <f t="shared" si="5"/>
        <v/>
      </c>
    </row>
    <row r="177" spans="1:10" ht="16" x14ac:dyDescent="0.2">
      <c r="A177" s="50"/>
      <c r="B177" s="47"/>
      <c r="C177" s="47"/>
      <c r="D177" s="47"/>
      <c r="E177" s="56"/>
      <c r="F177" s="47"/>
      <c r="G177" s="47"/>
      <c r="H177" s="47"/>
      <c r="I177" s="48" t="str">
        <f t="shared" si="4"/>
        <v/>
      </c>
      <c r="J177" s="48" t="str">
        <f t="shared" si="5"/>
        <v/>
      </c>
    </row>
    <row r="178" spans="1:10" ht="16" x14ac:dyDescent="0.2">
      <c r="A178" s="50"/>
      <c r="B178" s="47"/>
      <c r="C178" s="47"/>
      <c r="D178" s="47"/>
      <c r="E178" s="56"/>
      <c r="F178" s="47"/>
      <c r="G178" s="47"/>
      <c r="H178" s="47"/>
      <c r="I178" s="48" t="str">
        <f t="shared" si="4"/>
        <v/>
      </c>
      <c r="J178" s="48" t="str">
        <f t="shared" si="5"/>
        <v/>
      </c>
    </row>
    <row r="179" spans="1:10" ht="16" x14ac:dyDescent="0.2">
      <c r="A179" s="50"/>
      <c r="B179" s="47"/>
      <c r="C179" s="47"/>
      <c r="D179" s="47"/>
      <c r="E179" s="56"/>
      <c r="F179" s="47"/>
      <c r="G179" s="47"/>
      <c r="H179" s="47"/>
      <c r="I179" s="48" t="str">
        <f t="shared" si="4"/>
        <v/>
      </c>
      <c r="J179" s="48" t="str">
        <f t="shared" si="5"/>
        <v/>
      </c>
    </row>
    <row r="180" spans="1:10" ht="16" x14ac:dyDescent="0.2">
      <c r="A180" s="50"/>
      <c r="B180" s="47"/>
      <c r="C180" s="47"/>
      <c r="D180" s="47"/>
      <c r="E180" s="56"/>
      <c r="F180" s="47"/>
      <c r="G180" s="47"/>
      <c r="H180" s="47"/>
      <c r="I180" s="48" t="str">
        <f t="shared" si="4"/>
        <v/>
      </c>
      <c r="J180" s="48" t="str">
        <f t="shared" si="5"/>
        <v/>
      </c>
    </row>
    <row r="181" spans="1:10" ht="16" x14ac:dyDescent="0.2">
      <c r="A181" s="50"/>
      <c r="B181" s="47"/>
      <c r="C181" s="47"/>
      <c r="D181" s="47"/>
      <c r="E181" s="56"/>
      <c r="F181" s="47"/>
      <c r="G181" s="47"/>
      <c r="H181" s="47"/>
      <c r="I181" s="48" t="str">
        <f t="shared" si="4"/>
        <v/>
      </c>
      <c r="J181" s="48" t="str">
        <f t="shared" si="5"/>
        <v/>
      </c>
    </row>
    <row r="182" spans="1:10" ht="16" x14ac:dyDescent="0.2">
      <c r="A182" s="50"/>
      <c r="B182" s="47"/>
      <c r="C182" s="47"/>
      <c r="D182" s="47"/>
      <c r="E182" s="56"/>
      <c r="F182" s="47"/>
      <c r="G182" s="47"/>
      <c r="H182" s="47"/>
      <c r="I182" s="48" t="str">
        <f t="shared" si="4"/>
        <v/>
      </c>
      <c r="J182" s="48" t="str">
        <f t="shared" si="5"/>
        <v/>
      </c>
    </row>
    <row r="183" spans="1:10" ht="16" x14ac:dyDescent="0.2">
      <c r="A183" s="50"/>
      <c r="B183" s="47"/>
      <c r="C183" s="47"/>
      <c r="D183" s="47"/>
      <c r="E183" s="56"/>
      <c r="F183" s="47"/>
      <c r="G183" s="47"/>
      <c r="H183" s="47"/>
      <c r="I183" s="48" t="str">
        <f t="shared" si="4"/>
        <v/>
      </c>
      <c r="J183" s="48" t="str">
        <f t="shared" si="5"/>
        <v/>
      </c>
    </row>
    <row r="184" spans="1:10" ht="16" x14ac:dyDescent="0.2">
      <c r="A184" s="50"/>
      <c r="B184" s="47"/>
      <c r="C184" s="47"/>
      <c r="D184" s="47"/>
      <c r="E184" s="56"/>
      <c r="F184" s="47"/>
      <c r="G184" s="47"/>
      <c r="H184" s="47"/>
      <c r="I184" s="48" t="str">
        <f t="shared" si="4"/>
        <v/>
      </c>
      <c r="J184" s="48" t="str">
        <f t="shared" si="5"/>
        <v/>
      </c>
    </row>
    <row r="185" spans="1:10" ht="16" x14ac:dyDescent="0.2">
      <c r="A185" s="50"/>
      <c r="B185" s="47"/>
      <c r="C185" s="47"/>
      <c r="D185" s="47"/>
      <c r="E185" s="56"/>
      <c r="F185" s="47"/>
      <c r="G185" s="47"/>
      <c r="H185" s="47"/>
      <c r="I185" s="48" t="str">
        <f t="shared" si="4"/>
        <v/>
      </c>
      <c r="J185" s="48" t="str">
        <f t="shared" si="5"/>
        <v/>
      </c>
    </row>
    <row r="186" spans="1:10" ht="16" x14ac:dyDescent="0.2">
      <c r="A186" s="50"/>
      <c r="B186" s="47"/>
      <c r="C186" s="47"/>
      <c r="D186" s="47"/>
      <c r="E186" s="56"/>
      <c r="F186" s="47"/>
      <c r="G186" s="47"/>
      <c r="H186" s="47"/>
      <c r="I186" s="48" t="str">
        <f t="shared" si="4"/>
        <v/>
      </c>
      <c r="J186" s="48" t="str">
        <f t="shared" si="5"/>
        <v/>
      </c>
    </row>
    <row r="187" spans="1:10" ht="16" x14ac:dyDescent="0.2">
      <c r="A187" s="50"/>
      <c r="B187" s="47"/>
      <c r="C187" s="47"/>
      <c r="D187" s="47"/>
      <c r="E187" s="56"/>
      <c r="F187" s="47"/>
      <c r="G187" s="47"/>
      <c r="H187" s="47"/>
      <c r="I187" s="48" t="str">
        <f t="shared" si="4"/>
        <v/>
      </c>
      <c r="J187" s="48" t="str">
        <f t="shared" si="5"/>
        <v/>
      </c>
    </row>
    <row r="188" spans="1:10" ht="16" x14ac:dyDescent="0.2">
      <c r="A188" s="50"/>
      <c r="B188" s="47"/>
      <c r="C188" s="47"/>
      <c r="D188" s="47"/>
      <c r="E188" s="56"/>
      <c r="F188" s="47"/>
      <c r="G188" s="47"/>
      <c r="H188" s="47"/>
      <c r="I188" s="48" t="str">
        <f t="shared" si="4"/>
        <v/>
      </c>
      <c r="J188" s="48" t="str">
        <f t="shared" si="5"/>
        <v/>
      </c>
    </row>
    <row r="189" spans="1:10" ht="16" x14ac:dyDescent="0.2">
      <c r="A189" s="50"/>
      <c r="B189" s="47"/>
      <c r="C189" s="47"/>
      <c r="D189" s="47"/>
      <c r="E189" s="56"/>
      <c r="F189" s="47"/>
      <c r="G189" s="47"/>
      <c r="H189" s="47"/>
      <c r="I189" s="48" t="str">
        <f t="shared" si="4"/>
        <v/>
      </c>
      <c r="J189" s="48" t="str">
        <f t="shared" si="5"/>
        <v/>
      </c>
    </row>
    <row r="190" spans="1:10" ht="16" x14ac:dyDescent="0.2">
      <c r="A190" s="50"/>
      <c r="B190" s="47"/>
      <c r="C190" s="47"/>
      <c r="D190" s="47"/>
      <c r="E190" s="56"/>
      <c r="F190" s="47"/>
      <c r="G190" s="47"/>
      <c r="H190" s="47"/>
      <c r="I190" s="48" t="str">
        <f t="shared" si="4"/>
        <v/>
      </c>
      <c r="J190" s="48" t="str">
        <f t="shared" si="5"/>
        <v/>
      </c>
    </row>
    <row r="191" spans="1:10" ht="16" x14ac:dyDescent="0.2">
      <c r="A191" s="50"/>
      <c r="B191" s="47"/>
      <c r="C191" s="47"/>
      <c r="D191" s="47"/>
      <c r="E191" s="56"/>
      <c r="F191" s="47"/>
      <c r="G191" s="47"/>
      <c r="H191" s="47"/>
      <c r="I191" s="48" t="str">
        <f t="shared" si="4"/>
        <v/>
      </c>
      <c r="J191" s="48" t="str">
        <f t="shared" si="5"/>
        <v/>
      </c>
    </row>
    <row r="192" spans="1:10" ht="16" x14ac:dyDescent="0.2">
      <c r="A192" s="50"/>
      <c r="B192" s="47"/>
      <c r="C192" s="47"/>
      <c r="D192" s="47"/>
      <c r="E192" s="56"/>
      <c r="F192" s="47"/>
      <c r="G192" s="47"/>
      <c r="H192" s="47"/>
      <c r="I192" s="48" t="str">
        <f t="shared" si="4"/>
        <v/>
      </c>
      <c r="J192" s="48" t="str">
        <f t="shared" si="5"/>
        <v/>
      </c>
    </row>
    <row r="193" spans="1:10" ht="16" x14ac:dyDescent="0.2">
      <c r="A193" s="50"/>
      <c r="B193" s="47"/>
      <c r="C193" s="47"/>
      <c r="D193" s="47"/>
      <c r="E193" s="56"/>
      <c r="F193" s="47"/>
      <c r="G193" s="47"/>
      <c r="H193" s="47"/>
      <c r="I193" s="48" t="str">
        <f t="shared" si="4"/>
        <v/>
      </c>
      <c r="J193" s="48" t="str">
        <f t="shared" si="5"/>
        <v/>
      </c>
    </row>
    <row r="194" spans="1:10" ht="16" x14ac:dyDescent="0.2">
      <c r="A194" s="50"/>
      <c r="B194" s="47"/>
      <c r="C194" s="47"/>
      <c r="D194" s="47"/>
      <c r="E194" s="56"/>
      <c r="F194" s="47"/>
      <c r="G194" s="47"/>
      <c r="H194" s="47"/>
      <c r="I194" s="48" t="str">
        <f t="shared" si="4"/>
        <v/>
      </c>
      <c r="J194" s="48" t="str">
        <f t="shared" si="5"/>
        <v/>
      </c>
    </row>
    <row r="195" spans="1:10" ht="16" x14ac:dyDescent="0.2">
      <c r="A195" s="50"/>
      <c r="B195" s="47"/>
      <c r="C195" s="47"/>
      <c r="D195" s="47"/>
      <c r="E195" s="56"/>
      <c r="F195" s="47"/>
      <c r="G195" s="47"/>
      <c r="H195" s="47"/>
      <c r="I195" s="48" t="str">
        <f t="shared" si="4"/>
        <v/>
      </c>
      <c r="J195" s="48" t="str">
        <f t="shared" si="5"/>
        <v/>
      </c>
    </row>
    <row r="196" spans="1:10" ht="16" x14ac:dyDescent="0.2">
      <c r="A196" s="50"/>
      <c r="B196" s="47"/>
      <c r="C196" s="47"/>
      <c r="D196" s="47"/>
      <c r="E196" s="56"/>
      <c r="F196" s="47"/>
      <c r="G196" s="47"/>
      <c r="H196" s="47"/>
      <c r="I196" s="48" t="str">
        <f t="shared" si="4"/>
        <v/>
      </c>
      <c r="J196" s="48" t="str">
        <f t="shared" si="5"/>
        <v/>
      </c>
    </row>
    <row r="197" spans="1:10" ht="16" x14ac:dyDescent="0.2">
      <c r="A197" s="50"/>
      <c r="B197" s="47"/>
      <c r="C197" s="47"/>
      <c r="D197" s="47"/>
      <c r="E197" s="56"/>
      <c r="F197" s="47"/>
      <c r="G197" s="47"/>
      <c r="H197" s="47"/>
      <c r="I197" s="48" t="str">
        <f t="shared" si="4"/>
        <v/>
      </c>
      <c r="J197" s="48" t="str">
        <f t="shared" si="5"/>
        <v/>
      </c>
    </row>
    <row r="198" spans="1:10" ht="16" x14ac:dyDescent="0.2">
      <c r="A198" s="50"/>
      <c r="B198" s="47"/>
      <c r="C198" s="47"/>
      <c r="D198" s="47"/>
      <c r="E198" s="56"/>
      <c r="F198" s="47"/>
      <c r="G198" s="47"/>
      <c r="H198" s="47"/>
      <c r="I198" s="48" t="str">
        <f t="shared" si="4"/>
        <v/>
      </c>
      <c r="J198" s="48" t="str">
        <f t="shared" si="5"/>
        <v/>
      </c>
    </row>
    <row r="199" spans="1:10" ht="16" x14ac:dyDescent="0.2">
      <c r="A199" s="50"/>
      <c r="B199" s="47"/>
      <c r="C199" s="47"/>
      <c r="D199" s="47"/>
      <c r="E199" s="56"/>
      <c r="F199" s="47"/>
      <c r="G199" s="47"/>
      <c r="H199" s="47"/>
      <c r="I199" s="48" t="str">
        <f t="shared" ref="I199:I262" si="6">IF(OR(A199="",E199=""),"",YEAR(A199))</f>
        <v/>
      </c>
      <c r="J199" s="48" t="str">
        <f t="shared" ref="J199:J262" si="7">IF(OR(A199="",E199=""),"",YEAR(A199)*100+MONTH(A199))</f>
        <v/>
      </c>
    </row>
    <row r="200" spans="1:10" ht="16" x14ac:dyDescent="0.2">
      <c r="A200" s="50"/>
      <c r="B200" s="47"/>
      <c r="C200" s="47"/>
      <c r="D200" s="47"/>
      <c r="E200" s="56"/>
      <c r="F200" s="47"/>
      <c r="G200" s="47"/>
      <c r="H200" s="47"/>
      <c r="I200" s="48" t="str">
        <f t="shared" si="6"/>
        <v/>
      </c>
      <c r="J200" s="48" t="str">
        <f t="shared" si="7"/>
        <v/>
      </c>
    </row>
    <row r="201" spans="1:10" ht="16" x14ac:dyDescent="0.2">
      <c r="A201" s="50"/>
      <c r="B201" s="47"/>
      <c r="C201" s="47"/>
      <c r="D201" s="47"/>
      <c r="E201" s="56"/>
      <c r="F201" s="47"/>
      <c r="G201" s="47"/>
      <c r="H201" s="47"/>
      <c r="I201" s="48" t="str">
        <f t="shared" si="6"/>
        <v/>
      </c>
      <c r="J201" s="48" t="str">
        <f t="shared" si="7"/>
        <v/>
      </c>
    </row>
    <row r="202" spans="1:10" ht="16" x14ac:dyDescent="0.2">
      <c r="A202" s="50"/>
      <c r="B202" s="47"/>
      <c r="C202" s="47"/>
      <c r="D202" s="47"/>
      <c r="E202" s="56"/>
      <c r="F202" s="47"/>
      <c r="G202" s="47"/>
      <c r="H202" s="47"/>
      <c r="I202" s="48" t="str">
        <f t="shared" si="6"/>
        <v/>
      </c>
      <c r="J202" s="48" t="str">
        <f t="shared" si="7"/>
        <v/>
      </c>
    </row>
    <row r="203" spans="1:10" ht="16" x14ac:dyDescent="0.2">
      <c r="A203" s="50"/>
      <c r="B203" s="47"/>
      <c r="C203" s="47"/>
      <c r="D203" s="47"/>
      <c r="E203" s="56"/>
      <c r="F203" s="47"/>
      <c r="G203" s="47"/>
      <c r="H203" s="47"/>
      <c r="I203" s="48" t="str">
        <f t="shared" si="6"/>
        <v/>
      </c>
      <c r="J203" s="48" t="str">
        <f t="shared" si="7"/>
        <v/>
      </c>
    </row>
    <row r="204" spans="1:10" ht="16" x14ac:dyDescent="0.2">
      <c r="A204" s="50"/>
      <c r="B204" s="47"/>
      <c r="C204" s="47"/>
      <c r="D204" s="47"/>
      <c r="E204" s="56"/>
      <c r="F204" s="47"/>
      <c r="G204" s="47"/>
      <c r="H204" s="47"/>
      <c r="I204" s="48" t="str">
        <f t="shared" si="6"/>
        <v/>
      </c>
      <c r="J204" s="48" t="str">
        <f t="shared" si="7"/>
        <v/>
      </c>
    </row>
    <row r="205" spans="1:10" ht="16" x14ac:dyDescent="0.2">
      <c r="A205" s="50"/>
      <c r="B205" s="47"/>
      <c r="C205" s="47"/>
      <c r="D205" s="47"/>
      <c r="E205" s="56"/>
      <c r="F205" s="47"/>
      <c r="G205" s="47"/>
      <c r="H205" s="47"/>
      <c r="I205" s="48" t="str">
        <f t="shared" si="6"/>
        <v/>
      </c>
      <c r="J205" s="48" t="str">
        <f t="shared" si="7"/>
        <v/>
      </c>
    </row>
    <row r="206" spans="1:10" ht="16" x14ac:dyDescent="0.2">
      <c r="A206" s="50"/>
      <c r="B206" s="47"/>
      <c r="C206" s="47"/>
      <c r="D206" s="47"/>
      <c r="E206" s="56"/>
      <c r="F206" s="47"/>
      <c r="G206" s="47"/>
      <c r="H206" s="47"/>
      <c r="I206" s="48" t="str">
        <f t="shared" si="6"/>
        <v/>
      </c>
      <c r="J206" s="48" t="str">
        <f t="shared" si="7"/>
        <v/>
      </c>
    </row>
    <row r="207" spans="1:10" ht="16" x14ac:dyDescent="0.2">
      <c r="A207" s="50"/>
      <c r="B207" s="47"/>
      <c r="C207" s="47"/>
      <c r="D207" s="47"/>
      <c r="E207" s="56"/>
      <c r="F207" s="47"/>
      <c r="G207" s="47"/>
      <c r="H207" s="47"/>
      <c r="I207" s="48" t="str">
        <f t="shared" si="6"/>
        <v/>
      </c>
      <c r="J207" s="48" t="str">
        <f t="shared" si="7"/>
        <v/>
      </c>
    </row>
    <row r="208" spans="1:10" ht="16" x14ac:dyDescent="0.2">
      <c r="A208" s="50"/>
      <c r="B208" s="47"/>
      <c r="C208" s="47"/>
      <c r="D208" s="47"/>
      <c r="E208" s="56"/>
      <c r="F208" s="47"/>
      <c r="G208" s="47"/>
      <c r="H208" s="47"/>
      <c r="I208" s="48" t="str">
        <f t="shared" si="6"/>
        <v/>
      </c>
      <c r="J208" s="48" t="str">
        <f t="shared" si="7"/>
        <v/>
      </c>
    </row>
    <row r="209" spans="1:10" ht="16" x14ac:dyDescent="0.2">
      <c r="A209" s="50"/>
      <c r="B209" s="47"/>
      <c r="C209" s="47"/>
      <c r="D209" s="47"/>
      <c r="E209" s="56"/>
      <c r="F209" s="47"/>
      <c r="G209" s="47"/>
      <c r="H209" s="47"/>
      <c r="I209" s="48" t="str">
        <f t="shared" si="6"/>
        <v/>
      </c>
      <c r="J209" s="48" t="str">
        <f t="shared" si="7"/>
        <v/>
      </c>
    </row>
    <row r="210" spans="1:10" ht="16" x14ac:dyDescent="0.2">
      <c r="A210" s="50"/>
      <c r="B210" s="47"/>
      <c r="C210" s="47"/>
      <c r="D210" s="47"/>
      <c r="E210" s="56"/>
      <c r="F210" s="47"/>
      <c r="G210" s="47"/>
      <c r="H210" s="47"/>
      <c r="I210" s="48" t="str">
        <f t="shared" si="6"/>
        <v/>
      </c>
      <c r="J210" s="48" t="str">
        <f t="shared" si="7"/>
        <v/>
      </c>
    </row>
    <row r="211" spans="1:10" ht="16" x14ac:dyDescent="0.2">
      <c r="A211" s="50"/>
      <c r="B211" s="47"/>
      <c r="C211" s="47"/>
      <c r="D211" s="47"/>
      <c r="E211" s="56"/>
      <c r="F211" s="47"/>
      <c r="G211" s="47"/>
      <c r="H211" s="47"/>
      <c r="I211" s="48" t="str">
        <f t="shared" si="6"/>
        <v/>
      </c>
      <c r="J211" s="48" t="str">
        <f t="shared" si="7"/>
        <v/>
      </c>
    </row>
    <row r="212" spans="1:10" ht="16" x14ac:dyDescent="0.2">
      <c r="A212" s="50"/>
      <c r="B212" s="47"/>
      <c r="C212" s="47"/>
      <c r="D212" s="47"/>
      <c r="E212" s="56"/>
      <c r="F212" s="47"/>
      <c r="G212" s="47"/>
      <c r="H212" s="47"/>
      <c r="I212" s="48" t="str">
        <f t="shared" si="6"/>
        <v/>
      </c>
      <c r="J212" s="48" t="str">
        <f t="shared" si="7"/>
        <v/>
      </c>
    </row>
    <row r="213" spans="1:10" ht="16" x14ac:dyDescent="0.2">
      <c r="A213" s="50"/>
      <c r="B213" s="47"/>
      <c r="C213" s="47"/>
      <c r="D213" s="47"/>
      <c r="E213" s="56"/>
      <c r="F213" s="47"/>
      <c r="G213" s="47"/>
      <c r="H213" s="47"/>
      <c r="I213" s="48" t="str">
        <f t="shared" si="6"/>
        <v/>
      </c>
      <c r="J213" s="48" t="str">
        <f t="shared" si="7"/>
        <v/>
      </c>
    </row>
    <row r="214" spans="1:10" ht="16" x14ac:dyDescent="0.2">
      <c r="A214" s="50"/>
      <c r="B214" s="47"/>
      <c r="C214" s="47"/>
      <c r="D214" s="47"/>
      <c r="E214" s="56"/>
      <c r="F214" s="47"/>
      <c r="G214" s="47"/>
      <c r="H214" s="47"/>
      <c r="I214" s="48" t="str">
        <f t="shared" si="6"/>
        <v/>
      </c>
      <c r="J214" s="48" t="str">
        <f t="shared" si="7"/>
        <v/>
      </c>
    </row>
    <row r="215" spans="1:10" ht="16" x14ac:dyDescent="0.2">
      <c r="A215" s="50"/>
      <c r="B215" s="47"/>
      <c r="C215" s="47"/>
      <c r="D215" s="47"/>
      <c r="E215" s="56"/>
      <c r="F215" s="47"/>
      <c r="G215" s="47"/>
      <c r="H215" s="47"/>
      <c r="I215" s="48" t="str">
        <f t="shared" si="6"/>
        <v/>
      </c>
      <c r="J215" s="48" t="str">
        <f t="shared" si="7"/>
        <v/>
      </c>
    </row>
    <row r="216" spans="1:10" ht="16" x14ac:dyDescent="0.2">
      <c r="A216" s="50"/>
      <c r="B216" s="47"/>
      <c r="C216" s="47"/>
      <c r="D216" s="47"/>
      <c r="E216" s="56"/>
      <c r="F216" s="47"/>
      <c r="G216" s="47"/>
      <c r="H216" s="47"/>
      <c r="I216" s="48" t="str">
        <f t="shared" si="6"/>
        <v/>
      </c>
      <c r="J216" s="48" t="str">
        <f t="shared" si="7"/>
        <v/>
      </c>
    </row>
    <row r="217" spans="1:10" ht="16" x14ac:dyDescent="0.2">
      <c r="A217" s="50"/>
      <c r="B217" s="47"/>
      <c r="C217" s="47"/>
      <c r="D217" s="47"/>
      <c r="E217" s="56"/>
      <c r="F217" s="47"/>
      <c r="G217" s="47"/>
      <c r="H217" s="47"/>
      <c r="I217" s="48" t="str">
        <f t="shared" si="6"/>
        <v/>
      </c>
      <c r="J217" s="48" t="str">
        <f t="shared" si="7"/>
        <v/>
      </c>
    </row>
    <row r="218" spans="1:10" ht="16" x14ac:dyDescent="0.2">
      <c r="A218" s="50"/>
      <c r="B218" s="47"/>
      <c r="C218" s="47"/>
      <c r="D218" s="47"/>
      <c r="E218" s="56"/>
      <c r="F218" s="47"/>
      <c r="G218" s="47"/>
      <c r="H218" s="47"/>
      <c r="I218" s="48" t="str">
        <f t="shared" si="6"/>
        <v/>
      </c>
      <c r="J218" s="48" t="str">
        <f t="shared" si="7"/>
        <v/>
      </c>
    </row>
    <row r="219" spans="1:10" ht="16" x14ac:dyDescent="0.2">
      <c r="A219" s="50"/>
      <c r="B219" s="47"/>
      <c r="C219" s="47"/>
      <c r="D219" s="47"/>
      <c r="E219" s="56"/>
      <c r="F219" s="47"/>
      <c r="G219" s="47"/>
      <c r="H219" s="47"/>
      <c r="I219" s="48" t="str">
        <f t="shared" si="6"/>
        <v/>
      </c>
      <c r="J219" s="48" t="str">
        <f t="shared" si="7"/>
        <v/>
      </c>
    </row>
    <row r="220" spans="1:10" ht="16" x14ac:dyDescent="0.2">
      <c r="A220" s="50"/>
      <c r="B220" s="47"/>
      <c r="C220" s="47"/>
      <c r="D220" s="47"/>
      <c r="E220" s="56"/>
      <c r="F220" s="47"/>
      <c r="G220" s="47"/>
      <c r="H220" s="47"/>
      <c r="I220" s="48" t="str">
        <f t="shared" si="6"/>
        <v/>
      </c>
      <c r="J220" s="48" t="str">
        <f t="shared" si="7"/>
        <v/>
      </c>
    </row>
    <row r="221" spans="1:10" ht="16" x14ac:dyDescent="0.2">
      <c r="A221" s="50"/>
      <c r="B221" s="47"/>
      <c r="C221" s="47"/>
      <c r="D221" s="47"/>
      <c r="E221" s="56"/>
      <c r="F221" s="47"/>
      <c r="G221" s="47"/>
      <c r="H221" s="47"/>
      <c r="I221" s="48" t="str">
        <f t="shared" si="6"/>
        <v/>
      </c>
      <c r="J221" s="48" t="str">
        <f t="shared" si="7"/>
        <v/>
      </c>
    </row>
    <row r="222" spans="1:10" ht="16" x14ac:dyDescent="0.2">
      <c r="A222" s="50"/>
      <c r="B222" s="47"/>
      <c r="C222" s="47"/>
      <c r="D222" s="47"/>
      <c r="E222" s="56"/>
      <c r="F222" s="47"/>
      <c r="G222" s="47"/>
      <c r="H222" s="47"/>
      <c r="I222" s="48" t="str">
        <f t="shared" si="6"/>
        <v/>
      </c>
      <c r="J222" s="48" t="str">
        <f t="shared" si="7"/>
        <v/>
      </c>
    </row>
    <row r="223" spans="1:10" ht="16" x14ac:dyDescent="0.2">
      <c r="A223" s="50"/>
      <c r="B223" s="47"/>
      <c r="C223" s="47"/>
      <c r="D223" s="47"/>
      <c r="E223" s="56"/>
      <c r="F223" s="47"/>
      <c r="G223" s="47"/>
      <c r="H223" s="47"/>
      <c r="I223" s="48" t="str">
        <f t="shared" si="6"/>
        <v/>
      </c>
      <c r="J223" s="48" t="str">
        <f t="shared" si="7"/>
        <v/>
      </c>
    </row>
    <row r="224" spans="1:10" ht="16" x14ac:dyDescent="0.2">
      <c r="A224" s="50"/>
      <c r="B224" s="47"/>
      <c r="C224" s="47"/>
      <c r="D224" s="47"/>
      <c r="E224" s="56"/>
      <c r="F224" s="47"/>
      <c r="G224" s="47"/>
      <c r="H224" s="47"/>
      <c r="I224" s="48" t="str">
        <f t="shared" si="6"/>
        <v/>
      </c>
      <c r="J224" s="48" t="str">
        <f t="shared" si="7"/>
        <v/>
      </c>
    </row>
    <row r="225" spans="1:10" ht="16" x14ac:dyDescent="0.2">
      <c r="A225" s="50"/>
      <c r="B225" s="47"/>
      <c r="C225" s="47"/>
      <c r="D225" s="47"/>
      <c r="E225" s="56"/>
      <c r="F225" s="47"/>
      <c r="G225" s="47"/>
      <c r="H225" s="47"/>
      <c r="I225" s="48" t="str">
        <f t="shared" si="6"/>
        <v/>
      </c>
      <c r="J225" s="48" t="str">
        <f t="shared" si="7"/>
        <v/>
      </c>
    </row>
    <row r="226" spans="1:10" ht="16" x14ac:dyDescent="0.2">
      <c r="A226" s="50"/>
      <c r="B226" s="47"/>
      <c r="C226" s="47"/>
      <c r="D226" s="47"/>
      <c r="E226" s="56"/>
      <c r="F226" s="47"/>
      <c r="G226" s="47"/>
      <c r="H226" s="47"/>
      <c r="I226" s="48" t="str">
        <f t="shared" si="6"/>
        <v/>
      </c>
      <c r="J226" s="48" t="str">
        <f t="shared" si="7"/>
        <v/>
      </c>
    </row>
    <row r="227" spans="1:10" ht="16" x14ac:dyDescent="0.2">
      <c r="A227" s="50"/>
      <c r="B227" s="47"/>
      <c r="C227" s="47"/>
      <c r="D227" s="47"/>
      <c r="E227" s="56"/>
      <c r="F227" s="47"/>
      <c r="G227" s="47"/>
      <c r="H227" s="47"/>
      <c r="I227" s="48" t="str">
        <f t="shared" si="6"/>
        <v/>
      </c>
      <c r="J227" s="48" t="str">
        <f t="shared" si="7"/>
        <v/>
      </c>
    </row>
    <row r="228" spans="1:10" ht="16" x14ac:dyDescent="0.2">
      <c r="A228" s="50"/>
      <c r="B228" s="47"/>
      <c r="C228" s="47"/>
      <c r="D228" s="47"/>
      <c r="E228" s="56"/>
      <c r="F228" s="47"/>
      <c r="G228" s="47"/>
      <c r="H228" s="47"/>
      <c r="I228" s="48" t="str">
        <f t="shared" si="6"/>
        <v/>
      </c>
      <c r="J228" s="48" t="str">
        <f t="shared" si="7"/>
        <v/>
      </c>
    </row>
    <row r="229" spans="1:10" ht="16" x14ac:dyDescent="0.2">
      <c r="A229" s="50"/>
      <c r="B229" s="47"/>
      <c r="C229" s="47"/>
      <c r="D229" s="47"/>
      <c r="E229" s="56"/>
      <c r="F229" s="47"/>
      <c r="G229" s="47"/>
      <c r="H229" s="47"/>
      <c r="I229" s="48" t="str">
        <f t="shared" si="6"/>
        <v/>
      </c>
      <c r="J229" s="48" t="str">
        <f t="shared" si="7"/>
        <v/>
      </c>
    </row>
    <row r="230" spans="1:10" ht="16" x14ac:dyDescent="0.2">
      <c r="A230" s="50"/>
      <c r="B230" s="47"/>
      <c r="C230" s="47"/>
      <c r="D230" s="47"/>
      <c r="E230" s="56"/>
      <c r="F230" s="47"/>
      <c r="G230" s="47"/>
      <c r="H230" s="47"/>
      <c r="I230" s="48" t="str">
        <f t="shared" si="6"/>
        <v/>
      </c>
      <c r="J230" s="48" t="str">
        <f t="shared" si="7"/>
        <v/>
      </c>
    </row>
    <row r="231" spans="1:10" ht="16" x14ac:dyDescent="0.2">
      <c r="A231" s="50"/>
      <c r="B231" s="47"/>
      <c r="C231" s="47"/>
      <c r="D231" s="47"/>
      <c r="E231" s="56"/>
      <c r="F231" s="47"/>
      <c r="G231" s="47"/>
      <c r="H231" s="47"/>
      <c r="I231" s="48" t="str">
        <f t="shared" si="6"/>
        <v/>
      </c>
      <c r="J231" s="48" t="str">
        <f t="shared" si="7"/>
        <v/>
      </c>
    </row>
    <row r="232" spans="1:10" ht="16" x14ac:dyDescent="0.2">
      <c r="A232" s="50"/>
      <c r="B232" s="47"/>
      <c r="C232" s="47"/>
      <c r="D232" s="47"/>
      <c r="E232" s="56"/>
      <c r="F232" s="47"/>
      <c r="G232" s="47"/>
      <c r="H232" s="47"/>
      <c r="I232" s="48" t="str">
        <f t="shared" si="6"/>
        <v/>
      </c>
      <c r="J232" s="48" t="str">
        <f t="shared" si="7"/>
        <v/>
      </c>
    </row>
    <row r="233" spans="1:10" ht="16" x14ac:dyDescent="0.2">
      <c r="A233" s="50"/>
      <c r="B233" s="47"/>
      <c r="C233" s="47"/>
      <c r="D233" s="47"/>
      <c r="E233" s="56"/>
      <c r="F233" s="47"/>
      <c r="G233" s="47"/>
      <c r="H233" s="47"/>
      <c r="I233" s="48" t="str">
        <f t="shared" si="6"/>
        <v/>
      </c>
      <c r="J233" s="48" t="str">
        <f t="shared" si="7"/>
        <v/>
      </c>
    </row>
    <row r="234" spans="1:10" ht="16" x14ac:dyDescent="0.2">
      <c r="A234" s="50"/>
      <c r="B234" s="47"/>
      <c r="C234" s="47"/>
      <c r="D234" s="47"/>
      <c r="E234" s="56"/>
      <c r="F234" s="47"/>
      <c r="G234" s="47"/>
      <c r="H234" s="47"/>
      <c r="I234" s="48" t="str">
        <f t="shared" si="6"/>
        <v/>
      </c>
      <c r="J234" s="48" t="str">
        <f t="shared" si="7"/>
        <v/>
      </c>
    </row>
    <row r="235" spans="1:10" ht="16" x14ac:dyDescent="0.2">
      <c r="A235" s="50"/>
      <c r="B235" s="47"/>
      <c r="C235" s="47"/>
      <c r="D235" s="47"/>
      <c r="E235" s="56"/>
      <c r="F235" s="47"/>
      <c r="G235" s="47"/>
      <c r="H235" s="47"/>
      <c r="I235" s="48" t="str">
        <f t="shared" si="6"/>
        <v/>
      </c>
      <c r="J235" s="48" t="str">
        <f t="shared" si="7"/>
        <v/>
      </c>
    </row>
    <row r="236" spans="1:10" ht="16" x14ac:dyDescent="0.2">
      <c r="A236" s="50"/>
      <c r="B236" s="47"/>
      <c r="C236" s="47"/>
      <c r="D236" s="47"/>
      <c r="E236" s="56"/>
      <c r="F236" s="47"/>
      <c r="G236" s="47"/>
      <c r="H236" s="47"/>
      <c r="I236" s="48" t="str">
        <f t="shared" si="6"/>
        <v/>
      </c>
      <c r="J236" s="48" t="str">
        <f t="shared" si="7"/>
        <v/>
      </c>
    </row>
    <row r="237" spans="1:10" ht="16" x14ac:dyDescent="0.2">
      <c r="A237" s="50"/>
      <c r="B237" s="47"/>
      <c r="C237" s="47"/>
      <c r="D237" s="47"/>
      <c r="E237" s="56"/>
      <c r="F237" s="47"/>
      <c r="G237" s="47"/>
      <c r="H237" s="47"/>
      <c r="I237" s="48" t="str">
        <f t="shared" si="6"/>
        <v/>
      </c>
      <c r="J237" s="48" t="str">
        <f t="shared" si="7"/>
        <v/>
      </c>
    </row>
    <row r="238" spans="1:10" ht="16" x14ac:dyDescent="0.2">
      <c r="A238" s="50"/>
      <c r="B238" s="47"/>
      <c r="C238" s="47"/>
      <c r="D238" s="47"/>
      <c r="E238" s="56"/>
      <c r="F238" s="47"/>
      <c r="G238" s="47"/>
      <c r="H238" s="47"/>
      <c r="I238" s="48" t="str">
        <f t="shared" si="6"/>
        <v/>
      </c>
      <c r="J238" s="48" t="str">
        <f t="shared" si="7"/>
        <v/>
      </c>
    </row>
    <row r="239" spans="1:10" ht="16" x14ac:dyDescent="0.2">
      <c r="A239" s="50"/>
      <c r="B239" s="47"/>
      <c r="C239" s="47"/>
      <c r="D239" s="47"/>
      <c r="E239" s="56"/>
      <c r="F239" s="47"/>
      <c r="G239" s="47"/>
      <c r="H239" s="47"/>
      <c r="I239" s="48" t="str">
        <f t="shared" si="6"/>
        <v/>
      </c>
      <c r="J239" s="48" t="str">
        <f t="shared" si="7"/>
        <v/>
      </c>
    </row>
    <row r="240" spans="1:10" ht="16" x14ac:dyDescent="0.2">
      <c r="A240" s="50"/>
      <c r="B240" s="47"/>
      <c r="C240" s="47"/>
      <c r="D240" s="47"/>
      <c r="E240" s="56"/>
      <c r="F240" s="47"/>
      <c r="G240" s="47"/>
      <c r="H240" s="47"/>
      <c r="I240" s="48" t="str">
        <f t="shared" si="6"/>
        <v/>
      </c>
      <c r="J240" s="48" t="str">
        <f t="shared" si="7"/>
        <v/>
      </c>
    </row>
    <row r="241" spans="1:10" ht="16" x14ac:dyDescent="0.2">
      <c r="A241" s="50"/>
      <c r="B241" s="47"/>
      <c r="C241" s="47"/>
      <c r="D241" s="47"/>
      <c r="E241" s="56"/>
      <c r="F241" s="47"/>
      <c r="G241" s="47"/>
      <c r="H241" s="47"/>
      <c r="I241" s="48" t="str">
        <f t="shared" si="6"/>
        <v/>
      </c>
      <c r="J241" s="48" t="str">
        <f t="shared" si="7"/>
        <v/>
      </c>
    </row>
    <row r="242" spans="1:10" ht="16" x14ac:dyDescent="0.2">
      <c r="A242" s="50"/>
      <c r="B242" s="47"/>
      <c r="C242" s="47"/>
      <c r="D242" s="47"/>
      <c r="E242" s="56"/>
      <c r="F242" s="47"/>
      <c r="G242" s="47"/>
      <c r="H242" s="47"/>
      <c r="I242" s="48" t="str">
        <f t="shared" si="6"/>
        <v/>
      </c>
      <c r="J242" s="48" t="str">
        <f t="shared" si="7"/>
        <v/>
      </c>
    </row>
    <row r="243" spans="1:10" ht="16" x14ac:dyDescent="0.2">
      <c r="A243" s="50"/>
      <c r="B243" s="47"/>
      <c r="C243" s="47"/>
      <c r="D243" s="47"/>
      <c r="E243" s="56"/>
      <c r="F243" s="47"/>
      <c r="G243" s="47"/>
      <c r="H243" s="47"/>
      <c r="I243" s="48" t="str">
        <f t="shared" si="6"/>
        <v/>
      </c>
      <c r="J243" s="48" t="str">
        <f t="shared" si="7"/>
        <v/>
      </c>
    </row>
    <row r="244" spans="1:10" ht="16" x14ac:dyDescent="0.2">
      <c r="A244" s="50"/>
      <c r="B244" s="47"/>
      <c r="C244" s="47"/>
      <c r="D244" s="47"/>
      <c r="E244" s="56"/>
      <c r="F244" s="47"/>
      <c r="G244" s="47"/>
      <c r="H244" s="47"/>
      <c r="I244" s="48" t="str">
        <f t="shared" si="6"/>
        <v/>
      </c>
      <c r="J244" s="48" t="str">
        <f t="shared" si="7"/>
        <v/>
      </c>
    </row>
    <row r="245" spans="1:10" ht="16" x14ac:dyDescent="0.2">
      <c r="A245" s="50"/>
      <c r="B245" s="47"/>
      <c r="C245" s="47"/>
      <c r="D245" s="47"/>
      <c r="E245" s="56"/>
      <c r="F245" s="47"/>
      <c r="G245" s="47"/>
      <c r="H245" s="47"/>
      <c r="I245" s="48" t="str">
        <f t="shared" si="6"/>
        <v/>
      </c>
      <c r="J245" s="48" t="str">
        <f t="shared" si="7"/>
        <v/>
      </c>
    </row>
    <row r="246" spans="1:10" ht="16" x14ac:dyDescent="0.2">
      <c r="A246" s="50"/>
      <c r="B246" s="47"/>
      <c r="C246" s="47"/>
      <c r="D246" s="47"/>
      <c r="E246" s="56"/>
      <c r="F246" s="47"/>
      <c r="G246" s="47"/>
      <c r="H246" s="47"/>
      <c r="I246" s="48" t="str">
        <f t="shared" si="6"/>
        <v/>
      </c>
      <c r="J246" s="48" t="str">
        <f t="shared" si="7"/>
        <v/>
      </c>
    </row>
    <row r="247" spans="1:10" ht="16" x14ac:dyDescent="0.2">
      <c r="A247" s="50"/>
      <c r="B247" s="47"/>
      <c r="C247" s="47"/>
      <c r="D247" s="47"/>
      <c r="E247" s="56"/>
      <c r="F247" s="47"/>
      <c r="G247" s="47"/>
      <c r="H247" s="47"/>
      <c r="I247" s="48" t="str">
        <f t="shared" si="6"/>
        <v/>
      </c>
      <c r="J247" s="48" t="str">
        <f t="shared" si="7"/>
        <v/>
      </c>
    </row>
    <row r="248" spans="1:10" ht="16" x14ac:dyDescent="0.2">
      <c r="A248" s="50"/>
      <c r="B248" s="47"/>
      <c r="C248" s="47"/>
      <c r="D248" s="47"/>
      <c r="E248" s="56"/>
      <c r="F248" s="47"/>
      <c r="G248" s="47"/>
      <c r="H248" s="47"/>
      <c r="I248" s="48" t="str">
        <f t="shared" si="6"/>
        <v/>
      </c>
      <c r="J248" s="48" t="str">
        <f t="shared" si="7"/>
        <v/>
      </c>
    </row>
    <row r="249" spans="1:10" ht="16" x14ac:dyDescent="0.2">
      <c r="A249" s="50"/>
      <c r="B249" s="47"/>
      <c r="C249" s="47"/>
      <c r="D249" s="47"/>
      <c r="E249" s="56"/>
      <c r="F249" s="47"/>
      <c r="G249" s="47"/>
      <c r="H249" s="47"/>
      <c r="I249" s="48" t="str">
        <f t="shared" si="6"/>
        <v/>
      </c>
      <c r="J249" s="48" t="str">
        <f t="shared" si="7"/>
        <v/>
      </c>
    </row>
    <row r="250" spans="1:10" ht="16" x14ac:dyDescent="0.2">
      <c r="A250" s="50"/>
      <c r="B250" s="47"/>
      <c r="C250" s="47"/>
      <c r="D250" s="47"/>
      <c r="E250" s="56"/>
      <c r="F250" s="47"/>
      <c r="G250" s="47"/>
      <c r="H250" s="47"/>
      <c r="I250" s="48" t="str">
        <f t="shared" si="6"/>
        <v/>
      </c>
      <c r="J250" s="48" t="str">
        <f t="shared" si="7"/>
        <v/>
      </c>
    </row>
    <row r="251" spans="1:10" ht="16" x14ac:dyDescent="0.2">
      <c r="A251" s="50"/>
      <c r="B251" s="47"/>
      <c r="C251" s="47"/>
      <c r="D251" s="47"/>
      <c r="E251" s="56"/>
      <c r="F251" s="47"/>
      <c r="G251" s="47"/>
      <c r="H251" s="47"/>
      <c r="I251" s="48" t="str">
        <f t="shared" si="6"/>
        <v/>
      </c>
      <c r="J251" s="48" t="str">
        <f t="shared" si="7"/>
        <v/>
      </c>
    </row>
    <row r="252" spans="1:10" ht="16" x14ac:dyDescent="0.2">
      <c r="A252" s="50"/>
      <c r="B252" s="47"/>
      <c r="C252" s="47"/>
      <c r="D252" s="47"/>
      <c r="E252" s="56"/>
      <c r="F252" s="47"/>
      <c r="G252" s="47"/>
      <c r="H252" s="47"/>
      <c r="I252" s="48" t="str">
        <f t="shared" si="6"/>
        <v/>
      </c>
      <c r="J252" s="48" t="str">
        <f t="shared" si="7"/>
        <v/>
      </c>
    </row>
    <row r="253" spans="1:10" ht="16" x14ac:dyDescent="0.2">
      <c r="A253" s="50"/>
      <c r="B253" s="47"/>
      <c r="C253" s="47"/>
      <c r="D253" s="47"/>
      <c r="E253" s="56"/>
      <c r="F253" s="47"/>
      <c r="G253" s="47"/>
      <c r="H253" s="47"/>
      <c r="I253" s="48" t="str">
        <f t="shared" si="6"/>
        <v/>
      </c>
      <c r="J253" s="48" t="str">
        <f t="shared" si="7"/>
        <v/>
      </c>
    </row>
    <row r="254" spans="1:10" ht="16" x14ac:dyDescent="0.2">
      <c r="A254" s="50"/>
      <c r="B254" s="47"/>
      <c r="C254" s="47"/>
      <c r="D254" s="47"/>
      <c r="E254" s="56"/>
      <c r="F254" s="47"/>
      <c r="G254" s="47"/>
      <c r="H254" s="47"/>
      <c r="I254" s="48" t="str">
        <f t="shared" si="6"/>
        <v/>
      </c>
      <c r="J254" s="48" t="str">
        <f t="shared" si="7"/>
        <v/>
      </c>
    </row>
    <row r="255" spans="1:10" ht="16" x14ac:dyDescent="0.2">
      <c r="A255" s="50"/>
      <c r="B255" s="47"/>
      <c r="C255" s="47"/>
      <c r="D255" s="47"/>
      <c r="E255" s="56"/>
      <c r="F255" s="47"/>
      <c r="G255" s="47"/>
      <c r="H255" s="47"/>
      <c r="I255" s="48" t="str">
        <f t="shared" si="6"/>
        <v/>
      </c>
      <c r="J255" s="48" t="str">
        <f t="shared" si="7"/>
        <v/>
      </c>
    </row>
    <row r="256" spans="1:10" ht="16" x14ac:dyDescent="0.2">
      <c r="A256" s="50"/>
      <c r="B256" s="47"/>
      <c r="C256" s="47"/>
      <c r="D256" s="47"/>
      <c r="E256" s="56"/>
      <c r="F256" s="47"/>
      <c r="G256" s="47"/>
      <c r="H256" s="47"/>
      <c r="I256" s="48" t="str">
        <f t="shared" si="6"/>
        <v/>
      </c>
      <c r="J256" s="48" t="str">
        <f t="shared" si="7"/>
        <v/>
      </c>
    </row>
    <row r="257" spans="1:10" ht="16" x14ac:dyDescent="0.2">
      <c r="A257" s="50"/>
      <c r="B257" s="47"/>
      <c r="C257" s="47"/>
      <c r="D257" s="47"/>
      <c r="E257" s="56"/>
      <c r="F257" s="47"/>
      <c r="G257" s="47"/>
      <c r="H257" s="47"/>
      <c r="I257" s="48" t="str">
        <f t="shared" si="6"/>
        <v/>
      </c>
      <c r="J257" s="48" t="str">
        <f t="shared" si="7"/>
        <v/>
      </c>
    </row>
    <row r="258" spans="1:10" ht="16" x14ac:dyDescent="0.2">
      <c r="A258" s="50"/>
      <c r="B258" s="47"/>
      <c r="C258" s="47"/>
      <c r="D258" s="47"/>
      <c r="E258" s="56"/>
      <c r="F258" s="47"/>
      <c r="G258" s="47"/>
      <c r="H258" s="47"/>
      <c r="I258" s="48" t="str">
        <f t="shared" si="6"/>
        <v/>
      </c>
      <c r="J258" s="48" t="str">
        <f t="shared" si="7"/>
        <v/>
      </c>
    </row>
    <row r="259" spans="1:10" ht="16" x14ac:dyDescent="0.2">
      <c r="A259" s="50"/>
      <c r="B259" s="47"/>
      <c r="C259" s="47"/>
      <c r="D259" s="47"/>
      <c r="E259" s="56"/>
      <c r="F259" s="47"/>
      <c r="G259" s="47"/>
      <c r="H259" s="47"/>
      <c r="I259" s="48" t="str">
        <f t="shared" si="6"/>
        <v/>
      </c>
      <c r="J259" s="48" t="str">
        <f t="shared" si="7"/>
        <v/>
      </c>
    </row>
    <row r="260" spans="1:10" ht="16" x14ac:dyDescent="0.2">
      <c r="A260" s="50"/>
      <c r="B260" s="47"/>
      <c r="C260" s="47"/>
      <c r="D260" s="47"/>
      <c r="E260" s="56"/>
      <c r="F260" s="47"/>
      <c r="G260" s="47"/>
      <c r="H260" s="47"/>
      <c r="I260" s="48" t="str">
        <f t="shared" si="6"/>
        <v/>
      </c>
      <c r="J260" s="48" t="str">
        <f t="shared" si="7"/>
        <v/>
      </c>
    </row>
    <row r="261" spans="1:10" ht="16" x14ac:dyDescent="0.2">
      <c r="A261" s="50"/>
      <c r="B261" s="47"/>
      <c r="C261" s="47"/>
      <c r="D261" s="47"/>
      <c r="E261" s="56"/>
      <c r="F261" s="47"/>
      <c r="G261" s="47"/>
      <c r="H261" s="47"/>
      <c r="I261" s="48" t="str">
        <f t="shared" si="6"/>
        <v/>
      </c>
      <c r="J261" s="48" t="str">
        <f t="shared" si="7"/>
        <v/>
      </c>
    </row>
    <row r="262" spans="1:10" ht="16" x14ac:dyDescent="0.2">
      <c r="A262" s="50"/>
      <c r="B262" s="47"/>
      <c r="C262" s="47"/>
      <c r="D262" s="47"/>
      <c r="E262" s="56"/>
      <c r="F262" s="47"/>
      <c r="G262" s="47"/>
      <c r="H262" s="47"/>
      <c r="I262" s="48" t="str">
        <f t="shared" si="6"/>
        <v/>
      </c>
      <c r="J262" s="48" t="str">
        <f t="shared" si="7"/>
        <v/>
      </c>
    </row>
    <row r="263" spans="1:10" ht="16" x14ac:dyDescent="0.2">
      <c r="A263" s="50"/>
      <c r="B263" s="47"/>
      <c r="C263" s="47"/>
      <c r="D263" s="47"/>
      <c r="E263" s="56"/>
      <c r="F263" s="47"/>
      <c r="G263" s="47"/>
      <c r="H263" s="47"/>
      <c r="I263" s="48" t="str">
        <f t="shared" ref="I263:I326" si="8">IF(OR(A263="",E263=""),"",YEAR(A263))</f>
        <v/>
      </c>
      <c r="J263" s="48" t="str">
        <f t="shared" ref="J263:J326" si="9">IF(OR(A263="",E263=""),"",YEAR(A263)*100+MONTH(A263))</f>
        <v/>
      </c>
    </row>
    <row r="264" spans="1:10" ht="16" x14ac:dyDescent="0.2">
      <c r="A264" s="50"/>
      <c r="B264" s="47"/>
      <c r="C264" s="47"/>
      <c r="D264" s="47"/>
      <c r="E264" s="56"/>
      <c r="F264" s="47"/>
      <c r="G264" s="47"/>
      <c r="H264" s="47"/>
      <c r="I264" s="48" t="str">
        <f t="shared" si="8"/>
        <v/>
      </c>
      <c r="J264" s="48" t="str">
        <f t="shared" si="9"/>
        <v/>
      </c>
    </row>
    <row r="265" spans="1:10" ht="16" x14ac:dyDescent="0.2">
      <c r="A265" s="50"/>
      <c r="B265" s="47"/>
      <c r="C265" s="47"/>
      <c r="D265" s="47"/>
      <c r="E265" s="56"/>
      <c r="F265" s="47"/>
      <c r="G265" s="47"/>
      <c r="H265" s="47"/>
      <c r="I265" s="48" t="str">
        <f t="shared" si="8"/>
        <v/>
      </c>
      <c r="J265" s="48" t="str">
        <f t="shared" si="9"/>
        <v/>
      </c>
    </row>
    <row r="266" spans="1:10" ht="16" x14ac:dyDescent="0.2">
      <c r="A266" s="50"/>
      <c r="B266" s="47"/>
      <c r="C266" s="47"/>
      <c r="D266" s="47"/>
      <c r="E266" s="56"/>
      <c r="F266" s="47"/>
      <c r="G266" s="47"/>
      <c r="H266" s="47"/>
      <c r="I266" s="48" t="str">
        <f t="shared" si="8"/>
        <v/>
      </c>
      <c r="J266" s="48" t="str">
        <f t="shared" si="9"/>
        <v/>
      </c>
    </row>
    <row r="267" spans="1:10" ht="16" x14ac:dyDescent="0.2">
      <c r="A267" s="50"/>
      <c r="B267" s="47"/>
      <c r="C267" s="47"/>
      <c r="D267" s="47"/>
      <c r="E267" s="56"/>
      <c r="F267" s="47"/>
      <c r="G267" s="47"/>
      <c r="H267" s="47"/>
      <c r="I267" s="48" t="str">
        <f t="shared" si="8"/>
        <v/>
      </c>
      <c r="J267" s="48" t="str">
        <f t="shared" si="9"/>
        <v/>
      </c>
    </row>
    <row r="268" spans="1:10" ht="16" x14ac:dyDescent="0.2">
      <c r="A268" s="50"/>
      <c r="B268" s="47"/>
      <c r="C268" s="47"/>
      <c r="D268" s="47"/>
      <c r="E268" s="56"/>
      <c r="F268" s="47"/>
      <c r="G268" s="47"/>
      <c r="H268" s="47"/>
      <c r="I268" s="48" t="str">
        <f t="shared" si="8"/>
        <v/>
      </c>
      <c r="J268" s="48" t="str">
        <f t="shared" si="9"/>
        <v/>
      </c>
    </row>
    <row r="269" spans="1:10" ht="16" x14ac:dyDescent="0.2">
      <c r="A269" s="50"/>
      <c r="B269" s="47"/>
      <c r="C269" s="47"/>
      <c r="D269" s="47"/>
      <c r="E269" s="56"/>
      <c r="F269" s="47"/>
      <c r="G269" s="47"/>
      <c r="H269" s="47"/>
      <c r="I269" s="48" t="str">
        <f t="shared" si="8"/>
        <v/>
      </c>
      <c r="J269" s="48" t="str">
        <f t="shared" si="9"/>
        <v/>
      </c>
    </row>
    <row r="270" spans="1:10" ht="16" x14ac:dyDescent="0.2">
      <c r="A270" s="50"/>
      <c r="B270" s="47"/>
      <c r="C270" s="47"/>
      <c r="D270" s="47"/>
      <c r="E270" s="56"/>
      <c r="F270" s="47"/>
      <c r="G270" s="47"/>
      <c r="H270" s="47"/>
      <c r="I270" s="48" t="str">
        <f t="shared" si="8"/>
        <v/>
      </c>
      <c r="J270" s="48" t="str">
        <f t="shared" si="9"/>
        <v/>
      </c>
    </row>
    <row r="271" spans="1:10" ht="16" x14ac:dyDescent="0.2">
      <c r="A271" s="50"/>
      <c r="B271" s="47"/>
      <c r="C271" s="47"/>
      <c r="D271" s="47"/>
      <c r="E271" s="56"/>
      <c r="F271" s="47"/>
      <c r="G271" s="47"/>
      <c r="H271" s="47"/>
      <c r="I271" s="48" t="str">
        <f t="shared" si="8"/>
        <v/>
      </c>
      <c r="J271" s="48" t="str">
        <f t="shared" si="9"/>
        <v/>
      </c>
    </row>
    <row r="272" spans="1:10" ht="16" x14ac:dyDescent="0.2">
      <c r="A272" s="50"/>
      <c r="B272" s="47"/>
      <c r="C272" s="47"/>
      <c r="D272" s="47"/>
      <c r="E272" s="56"/>
      <c r="F272" s="47"/>
      <c r="G272" s="47"/>
      <c r="H272" s="47"/>
      <c r="I272" s="48" t="str">
        <f t="shared" si="8"/>
        <v/>
      </c>
      <c r="J272" s="48" t="str">
        <f t="shared" si="9"/>
        <v/>
      </c>
    </row>
    <row r="273" spans="1:10" ht="16" x14ac:dyDescent="0.2">
      <c r="A273" s="50"/>
      <c r="B273" s="47"/>
      <c r="C273" s="47"/>
      <c r="D273" s="47"/>
      <c r="E273" s="56"/>
      <c r="F273" s="47"/>
      <c r="G273" s="47"/>
      <c r="H273" s="47"/>
      <c r="I273" s="48" t="str">
        <f t="shared" si="8"/>
        <v/>
      </c>
      <c r="J273" s="48" t="str">
        <f t="shared" si="9"/>
        <v/>
      </c>
    </row>
    <row r="274" spans="1:10" ht="16" x14ac:dyDescent="0.2">
      <c r="A274" s="50"/>
      <c r="B274" s="47"/>
      <c r="C274" s="47"/>
      <c r="D274" s="47"/>
      <c r="E274" s="56"/>
      <c r="F274" s="47"/>
      <c r="G274" s="47"/>
      <c r="H274" s="47"/>
      <c r="I274" s="48" t="str">
        <f t="shared" si="8"/>
        <v/>
      </c>
      <c r="J274" s="48" t="str">
        <f t="shared" si="9"/>
        <v/>
      </c>
    </row>
    <row r="275" spans="1:10" ht="16" x14ac:dyDescent="0.2">
      <c r="A275" s="50"/>
      <c r="B275" s="47"/>
      <c r="C275" s="47"/>
      <c r="D275" s="47"/>
      <c r="E275" s="56"/>
      <c r="F275" s="47"/>
      <c r="G275" s="47"/>
      <c r="H275" s="47"/>
      <c r="I275" s="48" t="str">
        <f t="shared" si="8"/>
        <v/>
      </c>
      <c r="J275" s="48" t="str">
        <f t="shared" si="9"/>
        <v/>
      </c>
    </row>
    <row r="276" spans="1:10" ht="16" x14ac:dyDescent="0.2">
      <c r="A276" s="50"/>
      <c r="B276" s="47"/>
      <c r="C276" s="47"/>
      <c r="D276" s="47"/>
      <c r="E276" s="56"/>
      <c r="F276" s="47"/>
      <c r="G276" s="47"/>
      <c r="H276" s="47"/>
      <c r="I276" s="48" t="str">
        <f t="shared" si="8"/>
        <v/>
      </c>
      <c r="J276" s="48" t="str">
        <f t="shared" si="9"/>
        <v/>
      </c>
    </row>
    <row r="277" spans="1:10" ht="16" x14ac:dyDescent="0.2">
      <c r="A277" s="50"/>
      <c r="B277" s="47"/>
      <c r="C277" s="47"/>
      <c r="D277" s="47"/>
      <c r="E277" s="56"/>
      <c r="F277" s="47"/>
      <c r="G277" s="47"/>
      <c r="H277" s="47"/>
      <c r="I277" s="48" t="str">
        <f t="shared" si="8"/>
        <v/>
      </c>
      <c r="J277" s="48" t="str">
        <f t="shared" si="9"/>
        <v/>
      </c>
    </row>
    <row r="278" spans="1:10" ht="16" x14ac:dyDescent="0.2">
      <c r="A278" s="50"/>
      <c r="B278" s="47"/>
      <c r="C278" s="47"/>
      <c r="D278" s="47"/>
      <c r="E278" s="56"/>
      <c r="F278" s="47"/>
      <c r="G278" s="47"/>
      <c r="H278" s="47"/>
      <c r="I278" s="48" t="str">
        <f t="shared" si="8"/>
        <v/>
      </c>
      <c r="J278" s="48" t="str">
        <f t="shared" si="9"/>
        <v/>
      </c>
    </row>
    <row r="279" spans="1:10" ht="16" x14ac:dyDescent="0.2">
      <c r="A279" s="50"/>
      <c r="B279" s="47"/>
      <c r="C279" s="47"/>
      <c r="D279" s="47"/>
      <c r="E279" s="56"/>
      <c r="F279" s="47"/>
      <c r="G279" s="47"/>
      <c r="H279" s="47"/>
      <c r="I279" s="48" t="str">
        <f t="shared" si="8"/>
        <v/>
      </c>
      <c r="J279" s="48" t="str">
        <f t="shared" si="9"/>
        <v/>
      </c>
    </row>
    <row r="280" spans="1:10" ht="16" x14ac:dyDescent="0.2">
      <c r="A280" s="50"/>
      <c r="B280" s="47"/>
      <c r="C280" s="47"/>
      <c r="D280" s="47"/>
      <c r="E280" s="56"/>
      <c r="F280" s="47"/>
      <c r="G280" s="47"/>
      <c r="H280" s="47"/>
      <c r="I280" s="48" t="str">
        <f t="shared" si="8"/>
        <v/>
      </c>
      <c r="J280" s="48" t="str">
        <f t="shared" si="9"/>
        <v/>
      </c>
    </row>
    <row r="281" spans="1:10" ht="16" x14ac:dyDescent="0.2">
      <c r="A281" s="50"/>
      <c r="B281" s="47"/>
      <c r="C281" s="47"/>
      <c r="D281" s="47"/>
      <c r="E281" s="56"/>
      <c r="F281" s="47"/>
      <c r="G281" s="47"/>
      <c r="H281" s="47"/>
      <c r="I281" s="48" t="str">
        <f t="shared" si="8"/>
        <v/>
      </c>
      <c r="J281" s="48" t="str">
        <f t="shared" si="9"/>
        <v/>
      </c>
    </row>
    <row r="282" spans="1:10" ht="16" x14ac:dyDescent="0.2">
      <c r="A282" s="50"/>
      <c r="B282" s="47"/>
      <c r="C282" s="47"/>
      <c r="D282" s="47"/>
      <c r="E282" s="56"/>
      <c r="F282" s="47"/>
      <c r="G282" s="47"/>
      <c r="H282" s="47"/>
      <c r="I282" s="48" t="str">
        <f t="shared" si="8"/>
        <v/>
      </c>
      <c r="J282" s="48" t="str">
        <f t="shared" si="9"/>
        <v/>
      </c>
    </row>
    <row r="283" spans="1:10" ht="16" x14ac:dyDescent="0.2">
      <c r="A283" s="50"/>
      <c r="B283" s="47"/>
      <c r="C283" s="47"/>
      <c r="D283" s="47"/>
      <c r="E283" s="56"/>
      <c r="F283" s="47"/>
      <c r="G283" s="47"/>
      <c r="H283" s="47"/>
      <c r="I283" s="48" t="str">
        <f t="shared" si="8"/>
        <v/>
      </c>
      <c r="J283" s="48" t="str">
        <f t="shared" si="9"/>
        <v/>
      </c>
    </row>
    <row r="284" spans="1:10" ht="16" x14ac:dyDescent="0.2">
      <c r="A284" s="50"/>
      <c r="B284" s="47"/>
      <c r="C284" s="47"/>
      <c r="D284" s="47"/>
      <c r="E284" s="56"/>
      <c r="F284" s="47"/>
      <c r="G284" s="47"/>
      <c r="H284" s="47"/>
      <c r="I284" s="48" t="str">
        <f t="shared" si="8"/>
        <v/>
      </c>
      <c r="J284" s="48" t="str">
        <f t="shared" si="9"/>
        <v/>
      </c>
    </row>
    <row r="285" spans="1:10" ht="16" x14ac:dyDescent="0.2">
      <c r="A285" s="50"/>
      <c r="B285" s="47"/>
      <c r="C285" s="47"/>
      <c r="D285" s="47"/>
      <c r="E285" s="56"/>
      <c r="F285" s="47"/>
      <c r="G285" s="47"/>
      <c r="H285" s="47"/>
      <c r="I285" s="48" t="str">
        <f t="shared" si="8"/>
        <v/>
      </c>
      <c r="J285" s="48" t="str">
        <f t="shared" si="9"/>
        <v/>
      </c>
    </row>
    <row r="286" spans="1:10" ht="16" x14ac:dyDescent="0.2">
      <c r="A286" s="50"/>
      <c r="B286" s="47"/>
      <c r="C286" s="47"/>
      <c r="D286" s="47"/>
      <c r="E286" s="56"/>
      <c r="F286" s="47"/>
      <c r="G286" s="47"/>
      <c r="H286" s="47"/>
      <c r="I286" s="48" t="str">
        <f t="shared" si="8"/>
        <v/>
      </c>
      <c r="J286" s="48" t="str">
        <f t="shared" si="9"/>
        <v/>
      </c>
    </row>
    <row r="287" spans="1:10" ht="16" x14ac:dyDescent="0.2">
      <c r="A287" s="50"/>
      <c r="B287" s="47"/>
      <c r="C287" s="47"/>
      <c r="D287" s="47"/>
      <c r="E287" s="56"/>
      <c r="F287" s="47"/>
      <c r="G287" s="47"/>
      <c r="H287" s="47"/>
      <c r="I287" s="48" t="str">
        <f t="shared" si="8"/>
        <v/>
      </c>
      <c r="J287" s="48" t="str">
        <f t="shared" si="9"/>
        <v/>
      </c>
    </row>
    <row r="288" spans="1:10" ht="16" x14ac:dyDescent="0.2">
      <c r="A288" s="50"/>
      <c r="B288" s="47"/>
      <c r="C288" s="47"/>
      <c r="D288" s="47"/>
      <c r="E288" s="56"/>
      <c r="F288" s="47"/>
      <c r="G288" s="47"/>
      <c r="H288" s="47"/>
      <c r="I288" s="48" t="str">
        <f t="shared" si="8"/>
        <v/>
      </c>
      <c r="J288" s="48" t="str">
        <f t="shared" si="9"/>
        <v/>
      </c>
    </row>
    <row r="289" spans="1:10" ht="16" x14ac:dyDescent="0.2">
      <c r="A289" s="50"/>
      <c r="B289" s="47"/>
      <c r="C289" s="47"/>
      <c r="D289" s="47"/>
      <c r="E289" s="56"/>
      <c r="F289" s="47"/>
      <c r="G289" s="47"/>
      <c r="H289" s="47"/>
      <c r="I289" s="48" t="str">
        <f t="shared" si="8"/>
        <v/>
      </c>
      <c r="J289" s="48" t="str">
        <f t="shared" si="9"/>
        <v/>
      </c>
    </row>
    <row r="290" spans="1:10" ht="16" x14ac:dyDescent="0.2">
      <c r="A290" s="50"/>
      <c r="B290" s="47"/>
      <c r="C290" s="47"/>
      <c r="D290" s="47"/>
      <c r="E290" s="56"/>
      <c r="F290" s="47"/>
      <c r="G290" s="47"/>
      <c r="H290" s="47"/>
      <c r="I290" s="48" t="str">
        <f t="shared" si="8"/>
        <v/>
      </c>
      <c r="J290" s="48" t="str">
        <f t="shared" si="9"/>
        <v/>
      </c>
    </row>
    <row r="291" spans="1:10" ht="16" x14ac:dyDescent="0.2">
      <c r="A291" s="50"/>
      <c r="B291" s="47"/>
      <c r="C291" s="47"/>
      <c r="D291" s="47"/>
      <c r="E291" s="56"/>
      <c r="F291" s="47"/>
      <c r="G291" s="47"/>
      <c r="H291" s="47"/>
      <c r="I291" s="48" t="str">
        <f t="shared" si="8"/>
        <v/>
      </c>
      <c r="J291" s="48" t="str">
        <f t="shared" si="9"/>
        <v/>
      </c>
    </row>
    <row r="292" spans="1:10" ht="16" x14ac:dyDescent="0.2">
      <c r="A292" s="50"/>
      <c r="B292" s="47"/>
      <c r="C292" s="47"/>
      <c r="D292" s="47"/>
      <c r="E292" s="56"/>
      <c r="F292" s="47"/>
      <c r="G292" s="47"/>
      <c r="H292" s="47"/>
      <c r="I292" s="48" t="str">
        <f t="shared" si="8"/>
        <v/>
      </c>
      <c r="J292" s="48" t="str">
        <f t="shared" si="9"/>
        <v/>
      </c>
    </row>
    <row r="293" spans="1:10" ht="16" x14ac:dyDescent="0.2">
      <c r="A293" s="50"/>
      <c r="B293" s="47"/>
      <c r="C293" s="47"/>
      <c r="D293" s="47"/>
      <c r="E293" s="56"/>
      <c r="F293" s="47"/>
      <c r="G293" s="47"/>
      <c r="H293" s="47"/>
      <c r="I293" s="48" t="str">
        <f t="shared" si="8"/>
        <v/>
      </c>
      <c r="J293" s="48" t="str">
        <f t="shared" si="9"/>
        <v/>
      </c>
    </row>
    <row r="294" spans="1:10" ht="16" x14ac:dyDescent="0.2">
      <c r="A294" s="50"/>
      <c r="B294" s="47"/>
      <c r="C294" s="47"/>
      <c r="D294" s="47"/>
      <c r="E294" s="56"/>
      <c r="F294" s="47"/>
      <c r="G294" s="47"/>
      <c r="H294" s="47"/>
      <c r="I294" s="48" t="str">
        <f t="shared" si="8"/>
        <v/>
      </c>
      <c r="J294" s="48" t="str">
        <f t="shared" si="9"/>
        <v/>
      </c>
    </row>
    <row r="295" spans="1:10" ht="16" x14ac:dyDescent="0.2">
      <c r="A295" s="50"/>
      <c r="B295" s="47"/>
      <c r="C295" s="47"/>
      <c r="D295" s="47"/>
      <c r="E295" s="56"/>
      <c r="F295" s="47"/>
      <c r="G295" s="47"/>
      <c r="H295" s="47"/>
      <c r="I295" s="48" t="str">
        <f t="shared" si="8"/>
        <v/>
      </c>
      <c r="J295" s="48" t="str">
        <f t="shared" si="9"/>
        <v/>
      </c>
    </row>
    <row r="296" spans="1:10" ht="16" x14ac:dyDescent="0.2">
      <c r="A296" s="50"/>
      <c r="B296" s="47"/>
      <c r="C296" s="47"/>
      <c r="D296" s="47"/>
      <c r="E296" s="56"/>
      <c r="F296" s="47"/>
      <c r="G296" s="47"/>
      <c r="H296" s="47"/>
      <c r="I296" s="48" t="str">
        <f t="shared" si="8"/>
        <v/>
      </c>
      <c r="J296" s="48" t="str">
        <f t="shared" si="9"/>
        <v/>
      </c>
    </row>
    <row r="297" spans="1:10" ht="16" x14ac:dyDescent="0.2">
      <c r="A297" s="50"/>
      <c r="B297" s="47"/>
      <c r="C297" s="47"/>
      <c r="D297" s="47"/>
      <c r="E297" s="56"/>
      <c r="F297" s="47"/>
      <c r="G297" s="47"/>
      <c r="H297" s="47"/>
      <c r="I297" s="48" t="str">
        <f t="shared" si="8"/>
        <v/>
      </c>
      <c r="J297" s="48" t="str">
        <f t="shared" si="9"/>
        <v/>
      </c>
    </row>
    <row r="298" spans="1:10" ht="16" x14ac:dyDescent="0.2">
      <c r="A298" s="50"/>
      <c r="B298" s="47"/>
      <c r="C298" s="47"/>
      <c r="D298" s="47"/>
      <c r="E298" s="56"/>
      <c r="F298" s="47"/>
      <c r="G298" s="47"/>
      <c r="H298" s="47"/>
      <c r="I298" s="48" t="str">
        <f t="shared" si="8"/>
        <v/>
      </c>
      <c r="J298" s="48" t="str">
        <f t="shared" si="9"/>
        <v/>
      </c>
    </row>
    <row r="299" spans="1:10" ht="16" x14ac:dyDescent="0.2">
      <c r="A299" s="50"/>
      <c r="B299" s="47"/>
      <c r="C299" s="47"/>
      <c r="D299" s="47"/>
      <c r="E299" s="56"/>
      <c r="F299" s="47"/>
      <c r="G299" s="47"/>
      <c r="H299" s="47"/>
      <c r="I299" s="48" t="str">
        <f t="shared" si="8"/>
        <v/>
      </c>
      <c r="J299" s="48" t="str">
        <f t="shared" si="9"/>
        <v/>
      </c>
    </row>
    <row r="300" spans="1:10" ht="16" x14ac:dyDescent="0.2">
      <c r="A300" s="50"/>
      <c r="B300" s="47"/>
      <c r="C300" s="47"/>
      <c r="D300" s="47"/>
      <c r="E300" s="56"/>
      <c r="F300" s="47"/>
      <c r="G300" s="47"/>
      <c r="H300" s="47"/>
      <c r="I300" s="48" t="str">
        <f t="shared" si="8"/>
        <v/>
      </c>
      <c r="J300" s="48" t="str">
        <f t="shared" si="9"/>
        <v/>
      </c>
    </row>
    <row r="301" spans="1:10" ht="16" x14ac:dyDescent="0.2">
      <c r="A301" s="50"/>
      <c r="B301" s="47"/>
      <c r="C301" s="47"/>
      <c r="D301" s="47"/>
      <c r="E301" s="56"/>
      <c r="F301" s="47"/>
      <c r="G301" s="47"/>
      <c r="H301" s="47"/>
      <c r="I301" s="48" t="str">
        <f t="shared" si="8"/>
        <v/>
      </c>
      <c r="J301" s="48" t="str">
        <f t="shared" si="9"/>
        <v/>
      </c>
    </row>
    <row r="302" spans="1:10" ht="16" x14ac:dyDescent="0.2">
      <c r="A302" s="50"/>
      <c r="B302" s="47"/>
      <c r="C302" s="47"/>
      <c r="D302" s="47"/>
      <c r="E302" s="56"/>
      <c r="F302" s="47"/>
      <c r="G302" s="47"/>
      <c r="H302" s="47"/>
      <c r="I302" s="48" t="str">
        <f t="shared" si="8"/>
        <v/>
      </c>
      <c r="J302" s="48" t="str">
        <f t="shared" si="9"/>
        <v/>
      </c>
    </row>
    <row r="303" spans="1:10" ht="16" x14ac:dyDescent="0.2">
      <c r="A303" s="50"/>
      <c r="B303" s="47"/>
      <c r="C303" s="47"/>
      <c r="D303" s="47"/>
      <c r="E303" s="56"/>
      <c r="F303" s="47"/>
      <c r="G303" s="47"/>
      <c r="H303" s="47"/>
      <c r="I303" s="48" t="str">
        <f t="shared" si="8"/>
        <v/>
      </c>
      <c r="J303" s="48" t="str">
        <f t="shared" si="9"/>
        <v/>
      </c>
    </row>
    <row r="304" spans="1:10" ht="16" x14ac:dyDescent="0.2">
      <c r="A304" s="50"/>
      <c r="B304" s="47"/>
      <c r="C304" s="47"/>
      <c r="D304" s="47"/>
      <c r="E304" s="56"/>
      <c r="F304" s="47"/>
      <c r="G304" s="47"/>
      <c r="H304" s="47"/>
      <c r="I304" s="48" t="str">
        <f t="shared" si="8"/>
        <v/>
      </c>
      <c r="J304" s="48" t="str">
        <f t="shared" si="9"/>
        <v/>
      </c>
    </row>
    <row r="305" spans="1:10" ht="16" x14ac:dyDescent="0.2">
      <c r="A305" s="50"/>
      <c r="B305" s="47"/>
      <c r="C305" s="47"/>
      <c r="D305" s="47"/>
      <c r="E305" s="56"/>
      <c r="F305" s="47"/>
      <c r="G305" s="47"/>
      <c r="H305" s="47"/>
      <c r="I305" s="48" t="str">
        <f t="shared" si="8"/>
        <v/>
      </c>
      <c r="J305" s="48" t="str">
        <f t="shared" si="9"/>
        <v/>
      </c>
    </row>
    <row r="306" spans="1:10" ht="16" x14ac:dyDescent="0.2">
      <c r="A306" s="50"/>
      <c r="B306" s="47"/>
      <c r="C306" s="47"/>
      <c r="D306" s="47"/>
      <c r="E306" s="56"/>
      <c r="F306" s="47"/>
      <c r="G306" s="47"/>
      <c r="H306" s="47"/>
      <c r="I306" s="48" t="str">
        <f t="shared" si="8"/>
        <v/>
      </c>
      <c r="J306" s="48" t="str">
        <f t="shared" si="9"/>
        <v/>
      </c>
    </row>
    <row r="307" spans="1:10" ht="16" x14ac:dyDescent="0.2">
      <c r="A307" s="50"/>
      <c r="B307" s="47"/>
      <c r="C307" s="47"/>
      <c r="D307" s="47"/>
      <c r="E307" s="56"/>
      <c r="F307" s="47"/>
      <c r="G307" s="47"/>
      <c r="H307" s="47"/>
      <c r="I307" s="48" t="str">
        <f t="shared" si="8"/>
        <v/>
      </c>
      <c r="J307" s="48" t="str">
        <f t="shared" si="9"/>
        <v/>
      </c>
    </row>
    <row r="308" spans="1:10" ht="16" x14ac:dyDescent="0.2">
      <c r="A308" s="50"/>
      <c r="B308" s="47"/>
      <c r="C308" s="47"/>
      <c r="D308" s="47"/>
      <c r="E308" s="56"/>
      <c r="F308" s="47"/>
      <c r="G308" s="47"/>
      <c r="H308" s="47"/>
      <c r="I308" s="48" t="str">
        <f t="shared" si="8"/>
        <v/>
      </c>
      <c r="J308" s="48" t="str">
        <f t="shared" si="9"/>
        <v/>
      </c>
    </row>
    <row r="309" spans="1:10" ht="16" x14ac:dyDescent="0.2">
      <c r="A309" s="50"/>
      <c r="B309" s="47"/>
      <c r="C309" s="47"/>
      <c r="D309" s="47"/>
      <c r="E309" s="56"/>
      <c r="F309" s="47"/>
      <c r="G309" s="47"/>
      <c r="H309" s="47"/>
      <c r="I309" s="48" t="str">
        <f t="shared" si="8"/>
        <v/>
      </c>
      <c r="J309" s="48" t="str">
        <f t="shared" si="9"/>
        <v/>
      </c>
    </row>
    <row r="310" spans="1:10" ht="16" x14ac:dyDescent="0.2">
      <c r="A310" s="50"/>
      <c r="B310" s="47"/>
      <c r="C310" s="47"/>
      <c r="D310" s="47"/>
      <c r="E310" s="56"/>
      <c r="F310" s="47"/>
      <c r="G310" s="47"/>
      <c r="H310" s="47"/>
      <c r="I310" s="48" t="str">
        <f t="shared" si="8"/>
        <v/>
      </c>
      <c r="J310" s="48" t="str">
        <f t="shared" si="9"/>
        <v/>
      </c>
    </row>
    <row r="311" spans="1:10" ht="16" x14ac:dyDescent="0.2">
      <c r="A311" s="50"/>
      <c r="B311" s="47"/>
      <c r="C311" s="47"/>
      <c r="D311" s="47"/>
      <c r="E311" s="56"/>
      <c r="F311" s="47"/>
      <c r="G311" s="47"/>
      <c r="H311" s="47"/>
      <c r="I311" s="48" t="str">
        <f t="shared" si="8"/>
        <v/>
      </c>
      <c r="J311" s="48" t="str">
        <f t="shared" si="9"/>
        <v/>
      </c>
    </row>
    <row r="312" spans="1:10" ht="16" x14ac:dyDescent="0.2">
      <c r="A312" s="50"/>
      <c r="B312" s="47"/>
      <c r="C312" s="47"/>
      <c r="D312" s="47"/>
      <c r="E312" s="56"/>
      <c r="F312" s="47"/>
      <c r="G312" s="47"/>
      <c r="H312" s="47"/>
      <c r="I312" s="48" t="str">
        <f t="shared" si="8"/>
        <v/>
      </c>
      <c r="J312" s="48" t="str">
        <f t="shared" si="9"/>
        <v/>
      </c>
    </row>
    <row r="313" spans="1:10" ht="16" x14ac:dyDescent="0.2">
      <c r="A313" s="50"/>
      <c r="B313" s="47"/>
      <c r="C313" s="47"/>
      <c r="D313" s="47"/>
      <c r="E313" s="56"/>
      <c r="F313" s="47"/>
      <c r="G313" s="47"/>
      <c r="H313" s="47"/>
      <c r="I313" s="48" t="str">
        <f t="shared" si="8"/>
        <v/>
      </c>
      <c r="J313" s="48" t="str">
        <f t="shared" si="9"/>
        <v/>
      </c>
    </row>
    <row r="314" spans="1:10" ht="16" x14ac:dyDescent="0.2">
      <c r="A314" s="50"/>
      <c r="B314" s="47"/>
      <c r="C314" s="47"/>
      <c r="D314" s="47"/>
      <c r="E314" s="56"/>
      <c r="F314" s="47"/>
      <c r="G314" s="47"/>
      <c r="H314" s="47"/>
      <c r="I314" s="48" t="str">
        <f t="shared" si="8"/>
        <v/>
      </c>
      <c r="J314" s="48" t="str">
        <f t="shared" si="9"/>
        <v/>
      </c>
    </row>
    <row r="315" spans="1:10" ht="16" x14ac:dyDescent="0.2">
      <c r="A315" s="50"/>
      <c r="B315" s="47"/>
      <c r="C315" s="47"/>
      <c r="D315" s="47"/>
      <c r="E315" s="56"/>
      <c r="F315" s="47"/>
      <c r="G315" s="47"/>
      <c r="H315" s="47"/>
      <c r="I315" s="48" t="str">
        <f t="shared" si="8"/>
        <v/>
      </c>
      <c r="J315" s="48" t="str">
        <f t="shared" si="9"/>
        <v/>
      </c>
    </row>
    <row r="316" spans="1:10" ht="16" x14ac:dyDescent="0.2">
      <c r="A316" s="50"/>
      <c r="B316" s="47"/>
      <c r="C316" s="47"/>
      <c r="D316" s="47"/>
      <c r="E316" s="56"/>
      <c r="F316" s="47"/>
      <c r="G316" s="47"/>
      <c r="H316" s="47"/>
      <c r="I316" s="48" t="str">
        <f t="shared" si="8"/>
        <v/>
      </c>
      <c r="J316" s="48" t="str">
        <f t="shared" si="9"/>
        <v/>
      </c>
    </row>
    <row r="317" spans="1:10" ht="16" x14ac:dyDescent="0.2">
      <c r="A317" s="50"/>
      <c r="B317" s="47"/>
      <c r="C317" s="47"/>
      <c r="D317" s="47"/>
      <c r="E317" s="56"/>
      <c r="F317" s="47"/>
      <c r="G317" s="47"/>
      <c r="H317" s="47"/>
      <c r="I317" s="48" t="str">
        <f t="shared" si="8"/>
        <v/>
      </c>
      <c r="J317" s="48" t="str">
        <f t="shared" si="9"/>
        <v/>
      </c>
    </row>
    <row r="318" spans="1:10" ht="16" x14ac:dyDescent="0.2">
      <c r="A318" s="50"/>
      <c r="B318" s="47"/>
      <c r="C318" s="47"/>
      <c r="D318" s="47"/>
      <c r="E318" s="56"/>
      <c r="F318" s="47"/>
      <c r="G318" s="47"/>
      <c r="H318" s="47"/>
      <c r="I318" s="48" t="str">
        <f t="shared" si="8"/>
        <v/>
      </c>
      <c r="J318" s="48" t="str">
        <f t="shared" si="9"/>
        <v/>
      </c>
    </row>
    <row r="319" spans="1:10" ht="16" x14ac:dyDescent="0.2">
      <c r="A319" s="50"/>
      <c r="B319" s="47"/>
      <c r="C319" s="47"/>
      <c r="D319" s="47"/>
      <c r="E319" s="56"/>
      <c r="F319" s="47"/>
      <c r="G319" s="47"/>
      <c r="H319" s="47"/>
      <c r="I319" s="48" t="str">
        <f t="shared" si="8"/>
        <v/>
      </c>
      <c r="J319" s="48" t="str">
        <f t="shared" si="9"/>
        <v/>
      </c>
    </row>
    <row r="320" spans="1:10" ht="16" x14ac:dyDescent="0.2">
      <c r="A320" s="50"/>
      <c r="B320" s="47"/>
      <c r="C320" s="47"/>
      <c r="D320" s="47"/>
      <c r="E320" s="56"/>
      <c r="F320" s="47"/>
      <c r="G320" s="47"/>
      <c r="H320" s="47"/>
      <c r="I320" s="48" t="str">
        <f t="shared" si="8"/>
        <v/>
      </c>
      <c r="J320" s="48" t="str">
        <f t="shared" si="9"/>
        <v/>
      </c>
    </row>
    <row r="321" spans="1:10" ht="16" x14ac:dyDescent="0.2">
      <c r="A321" s="50"/>
      <c r="B321" s="47"/>
      <c r="C321" s="47"/>
      <c r="D321" s="47"/>
      <c r="E321" s="56"/>
      <c r="F321" s="47"/>
      <c r="G321" s="47"/>
      <c r="H321" s="47"/>
      <c r="I321" s="48" t="str">
        <f t="shared" si="8"/>
        <v/>
      </c>
      <c r="J321" s="48" t="str">
        <f t="shared" si="9"/>
        <v/>
      </c>
    </row>
    <row r="322" spans="1:10" ht="16" x14ac:dyDescent="0.2">
      <c r="A322" s="50"/>
      <c r="B322" s="47"/>
      <c r="C322" s="47"/>
      <c r="D322" s="47"/>
      <c r="E322" s="56"/>
      <c r="F322" s="47"/>
      <c r="G322" s="47"/>
      <c r="H322" s="47"/>
      <c r="I322" s="48" t="str">
        <f t="shared" si="8"/>
        <v/>
      </c>
      <c r="J322" s="48" t="str">
        <f t="shared" si="9"/>
        <v/>
      </c>
    </row>
    <row r="323" spans="1:10" ht="16" x14ac:dyDescent="0.2">
      <c r="A323" s="50"/>
      <c r="B323" s="47"/>
      <c r="C323" s="47"/>
      <c r="D323" s="47"/>
      <c r="E323" s="56"/>
      <c r="F323" s="47"/>
      <c r="G323" s="47"/>
      <c r="H323" s="47"/>
      <c r="I323" s="48" t="str">
        <f t="shared" si="8"/>
        <v/>
      </c>
      <c r="J323" s="48" t="str">
        <f t="shared" si="9"/>
        <v/>
      </c>
    </row>
    <row r="324" spans="1:10" ht="16" x14ac:dyDescent="0.2">
      <c r="A324" s="50"/>
      <c r="B324" s="47"/>
      <c r="C324" s="47"/>
      <c r="D324" s="47"/>
      <c r="E324" s="56"/>
      <c r="F324" s="47"/>
      <c r="G324" s="47"/>
      <c r="H324" s="47"/>
      <c r="I324" s="48" t="str">
        <f t="shared" si="8"/>
        <v/>
      </c>
      <c r="J324" s="48" t="str">
        <f t="shared" si="9"/>
        <v/>
      </c>
    </row>
    <row r="325" spans="1:10" ht="16" x14ac:dyDescent="0.2">
      <c r="A325" s="50"/>
      <c r="B325" s="47"/>
      <c r="C325" s="47"/>
      <c r="D325" s="47"/>
      <c r="E325" s="56"/>
      <c r="F325" s="47"/>
      <c r="G325" s="47"/>
      <c r="H325" s="47"/>
      <c r="I325" s="48" t="str">
        <f t="shared" si="8"/>
        <v/>
      </c>
      <c r="J325" s="48" t="str">
        <f t="shared" si="9"/>
        <v/>
      </c>
    </row>
    <row r="326" spans="1:10" ht="16" x14ac:dyDescent="0.2">
      <c r="A326" s="50"/>
      <c r="B326" s="47"/>
      <c r="C326" s="47"/>
      <c r="D326" s="47"/>
      <c r="E326" s="56"/>
      <c r="F326" s="47"/>
      <c r="G326" s="47"/>
      <c r="H326" s="47"/>
      <c r="I326" s="48" t="str">
        <f t="shared" si="8"/>
        <v/>
      </c>
      <c r="J326" s="48" t="str">
        <f t="shared" si="9"/>
        <v/>
      </c>
    </row>
    <row r="327" spans="1:10" ht="16" x14ac:dyDescent="0.2">
      <c r="A327" s="50"/>
      <c r="B327" s="47"/>
      <c r="C327" s="47"/>
      <c r="D327" s="47"/>
      <c r="E327" s="56"/>
      <c r="F327" s="47"/>
      <c r="G327" s="47"/>
      <c r="H327" s="47"/>
      <c r="I327" s="48" t="str">
        <f t="shared" ref="I327:I390" si="10">IF(OR(A327="",E327=""),"",YEAR(A327))</f>
        <v/>
      </c>
      <c r="J327" s="48" t="str">
        <f t="shared" ref="J327:J390" si="11">IF(OR(A327="",E327=""),"",YEAR(A327)*100+MONTH(A327))</f>
        <v/>
      </c>
    </row>
    <row r="328" spans="1:10" ht="16" x14ac:dyDescent="0.2">
      <c r="A328" s="50"/>
      <c r="B328" s="47"/>
      <c r="C328" s="47"/>
      <c r="D328" s="47"/>
      <c r="E328" s="56"/>
      <c r="F328" s="47"/>
      <c r="G328" s="47"/>
      <c r="H328" s="47"/>
      <c r="I328" s="48" t="str">
        <f t="shared" si="10"/>
        <v/>
      </c>
      <c r="J328" s="48" t="str">
        <f t="shared" si="11"/>
        <v/>
      </c>
    </row>
    <row r="329" spans="1:10" ht="16" x14ac:dyDescent="0.2">
      <c r="A329" s="50"/>
      <c r="B329" s="47"/>
      <c r="C329" s="47"/>
      <c r="D329" s="47"/>
      <c r="E329" s="56"/>
      <c r="F329" s="47"/>
      <c r="G329" s="47"/>
      <c r="H329" s="47"/>
      <c r="I329" s="48" t="str">
        <f t="shared" si="10"/>
        <v/>
      </c>
      <c r="J329" s="48" t="str">
        <f t="shared" si="11"/>
        <v/>
      </c>
    </row>
    <row r="330" spans="1:10" ht="16" x14ac:dyDescent="0.2">
      <c r="A330" s="50"/>
      <c r="B330" s="47"/>
      <c r="C330" s="47"/>
      <c r="D330" s="47"/>
      <c r="E330" s="56"/>
      <c r="F330" s="47"/>
      <c r="G330" s="47"/>
      <c r="H330" s="47"/>
      <c r="I330" s="48" t="str">
        <f t="shared" si="10"/>
        <v/>
      </c>
      <c r="J330" s="48" t="str">
        <f t="shared" si="11"/>
        <v/>
      </c>
    </row>
    <row r="331" spans="1:10" ht="16" x14ac:dyDescent="0.2">
      <c r="A331" s="50"/>
      <c r="B331" s="47"/>
      <c r="C331" s="47"/>
      <c r="D331" s="47"/>
      <c r="E331" s="56"/>
      <c r="F331" s="47"/>
      <c r="G331" s="47"/>
      <c r="H331" s="47"/>
      <c r="I331" s="48" t="str">
        <f t="shared" si="10"/>
        <v/>
      </c>
      <c r="J331" s="48" t="str">
        <f t="shared" si="11"/>
        <v/>
      </c>
    </row>
    <row r="332" spans="1:10" ht="16" x14ac:dyDescent="0.2">
      <c r="A332" s="50"/>
      <c r="B332" s="47"/>
      <c r="C332" s="47"/>
      <c r="D332" s="47"/>
      <c r="E332" s="56"/>
      <c r="F332" s="47"/>
      <c r="G332" s="47"/>
      <c r="H332" s="47"/>
      <c r="I332" s="48" t="str">
        <f t="shared" si="10"/>
        <v/>
      </c>
      <c r="J332" s="48" t="str">
        <f t="shared" si="11"/>
        <v/>
      </c>
    </row>
    <row r="333" spans="1:10" ht="16" x14ac:dyDescent="0.2">
      <c r="A333" s="50"/>
      <c r="B333" s="47"/>
      <c r="C333" s="47"/>
      <c r="D333" s="47"/>
      <c r="E333" s="56"/>
      <c r="F333" s="47"/>
      <c r="G333" s="47"/>
      <c r="H333" s="47"/>
      <c r="I333" s="48" t="str">
        <f t="shared" si="10"/>
        <v/>
      </c>
      <c r="J333" s="48" t="str">
        <f t="shared" si="11"/>
        <v/>
      </c>
    </row>
    <row r="334" spans="1:10" ht="16" x14ac:dyDescent="0.2">
      <c r="A334" s="50"/>
      <c r="B334" s="47"/>
      <c r="C334" s="47"/>
      <c r="D334" s="47"/>
      <c r="E334" s="56"/>
      <c r="F334" s="47"/>
      <c r="G334" s="47"/>
      <c r="H334" s="47"/>
      <c r="I334" s="48" t="str">
        <f t="shared" si="10"/>
        <v/>
      </c>
      <c r="J334" s="48" t="str">
        <f t="shared" si="11"/>
        <v/>
      </c>
    </row>
    <row r="335" spans="1:10" ht="16" x14ac:dyDescent="0.2">
      <c r="A335" s="50"/>
      <c r="B335" s="47"/>
      <c r="C335" s="47"/>
      <c r="D335" s="47"/>
      <c r="E335" s="56"/>
      <c r="F335" s="47"/>
      <c r="G335" s="47"/>
      <c r="H335" s="47"/>
      <c r="I335" s="48" t="str">
        <f t="shared" si="10"/>
        <v/>
      </c>
      <c r="J335" s="48" t="str">
        <f t="shared" si="11"/>
        <v/>
      </c>
    </row>
    <row r="336" spans="1:10" ht="16" x14ac:dyDescent="0.2">
      <c r="A336" s="50"/>
      <c r="B336" s="47"/>
      <c r="C336" s="47"/>
      <c r="D336" s="47"/>
      <c r="E336" s="56"/>
      <c r="F336" s="47"/>
      <c r="G336" s="47"/>
      <c r="H336" s="47"/>
      <c r="I336" s="48" t="str">
        <f t="shared" si="10"/>
        <v/>
      </c>
      <c r="J336" s="48" t="str">
        <f t="shared" si="11"/>
        <v/>
      </c>
    </row>
    <row r="337" spans="1:10" ht="16" x14ac:dyDescent="0.2">
      <c r="A337" s="50"/>
      <c r="B337" s="47"/>
      <c r="C337" s="47"/>
      <c r="D337" s="47"/>
      <c r="E337" s="56"/>
      <c r="F337" s="47"/>
      <c r="G337" s="47"/>
      <c r="H337" s="47"/>
      <c r="I337" s="48" t="str">
        <f t="shared" si="10"/>
        <v/>
      </c>
      <c r="J337" s="48" t="str">
        <f t="shared" si="11"/>
        <v/>
      </c>
    </row>
    <row r="338" spans="1:10" ht="16" x14ac:dyDescent="0.2">
      <c r="A338" s="50"/>
      <c r="B338" s="47"/>
      <c r="C338" s="47"/>
      <c r="D338" s="47"/>
      <c r="E338" s="56"/>
      <c r="F338" s="47"/>
      <c r="G338" s="47"/>
      <c r="H338" s="47"/>
      <c r="I338" s="48" t="str">
        <f t="shared" si="10"/>
        <v/>
      </c>
      <c r="J338" s="48" t="str">
        <f t="shared" si="11"/>
        <v/>
      </c>
    </row>
    <row r="339" spans="1:10" ht="16" x14ac:dyDescent="0.2">
      <c r="A339" s="50"/>
      <c r="B339" s="47"/>
      <c r="C339" s="47"/>
      <c r="D339" s="47"/>
      <c r="E339" s="56"/>
      <c r="F339" s="47"/>
      <c r="G339" s="47"/>
      <c r="H339" s="47"/>
      <c r="I339" s="48" t="str">
        <f t="shared" si="10"/>
        <v/>
      </c>
      <c r="J339" s="48" t="str">
        <f t="shared" si="11"/>
        <v/>
      </c>
    </row>
    <row r="340" spans="1:10" ht="16" x14ac:dyDescent="0.2">
      <c r="A340" s="50"/>
      <c r="B340" s="47"/>
      <c r="C340" s="47"/>
      <c r="D340" s="47"/>
      <c r="E340" s="56"/>
      <c r="F340" s="47"/>
      <c r="G340" s="47"/>
      <c r="H340" s="47"/>
      <c r="I340" s="48" t="str">
        <f t="shared" si="10"/>
        <v/>
      </c>
      <c r="J340" s="48" t="str">
        <f t="shared" si="11"/>
        <v/>
      </c>
    </row>
    <row r="341" spans="1:10" ht="16" x14ac:dyDescent="0.2">
      <c r="A341" s="50"/>
      <c r="B341" s="47"/>
      <c r="C341" s="47"/>
      <c r="D341" s="47"/>
      <c r="E341" s="56"/>
      <c r="F341" s="47"/>
      <c r="G341" s="47"/>
      <c r="H341" s="47"/>
      <c r="I341" s="48" t="str">
        <f t="shared" si="10"/>
        <v/>
      </c>
      <c r="J341" s="48" t="str">
        <f t="shared" si="11"/>
        <v/>
      </c>
    </row>
    <row r="342" spans="1:10" ht="16" x14ac:dyDescent="0.2">
      <c r="A342" s="50"/>
      <c r="B342" s="47"/>
      <c r="C342" s="47"/>
      <c r="D342" s="47"/>
      <c r="E342" s="56"/>
      <c r="F342" s="47"/>
      <c r="G342" s="47"/>
      <c r="H342" s="47"/>
      <c r="I342" s="48" t="str">
        <f t="shared" si="10"/>
        <v/>
      </c>
      <c r="J342" s="48" t="str">
        <f t="shared" si="11"/>
        <v/>
      </c>
    </row>
    <row r="343" spans="1:10" ht="16" x14ac:dyDescent="0.2">
      <c r="A343" s="50"/>
      <c r="B343" s="47"/>
      <c r="C343" s="47"/>
      <c r="D343" s="47"/>
      <c r="E343" s="56"/>
      <c r="F343" s="47"/>
      <c r="G343" s="47"/>
      <c r="H343" s="47"/>
      <c r="I343" s="48" t="str">
        <f t="shared" si="10"/>
        <v/>
      </c>
      <c r="J343" s="48" t="str">
        <f t="shared" si="11"/>
        <v/>
      </c>
    </row>
    <row r="344" spans="1:10" ht="16" x14ac:dyDescent="0.2">
      <c r="A344" s="50"/>
      <c r="B344" s="47"/>
      <c r="C344" s="47"/>
      <c r="D344" s="47"/>
      <c r="E344" s="56"/>
      <c r="F344" s="47"/>
      <c r="G344" s="47"/>
      <c r="H344" s="47"/>
      <c r="I344" s="48" t="str">
        <f t="shared" si="10"/>
        <v/>
      </c>
      <c r="J344" s="48" t="str">
        <f t="shared" si="11"/>
        <v/>
      </c>
    </row>
    <row r="345" spans="1:10" ht="16" x14ac:dyDescent="0.2">
      <c r="A345" s="50"/>
      <c r="B345" s="47"/>
      <c r="C345" s="47"/>
      <c r="D345" s="47"/>
      <c r="E345" s="56"/>
      <c r="F345" s="47"/>
      <c r="G345" s="47"/>
      <c r="H345" s="47"/>
      <c r="I345" s="48" t="str">
        <f t="shared" si="10"/>
        <v/>
      </c>
      <c r="J345" s="48" t="str">
        <f t="shared" si="11"/>
        <v/>
      </c>
    </row>
    <row r="346" spans="1:10" ht="16" x14ac:dyDescent="0.2">
      <c r="A346" s="50"/>
      <c r="B346" s="47"/>
      <c r="C346" s="47"/>
      <c r="D346" s="47"/>
      <c r="E346" s="56"/>
      <c r="F346" s="47"/>
      <c r="G346" s="47"/>
      <c r="H346" s="47"/>
      <c r="I346" s="48" t="str">
        <f t="shared" si="10"/>
        <v/>
      </c>
      <c r="J346" s="48" t="str">
        <f t="shared" si="11"/>
        <v/>
      </c>
    </row>
    <row r="347" spans="1:10" ht="16" x14ac:dyDescent="0.2">
      <c r="A347" s="50"/>
      <c r="B347" s="47"/>
      <c r="C347" s="47"/>
      <c r="D347" s="47"/>
      <c r="E347" s="56"/>
      <c r="F347" s="47"/>
      <c r="G347" s="47"/>
      <c r="H347" s="47"/>
      <c r="I347" s="48" t="str">
        <f t="shared" si="10"/>
        <v/>
      </c>
      <c r="J347" s="48" t="str">
        <f t="shared" si="11"/>
        <v/>
      </c>
    </row>
    <row r="348" spans="1:10" ht="16" x14ac:dyDescent="0.2">
      <c r="A348" s="50"/>
      <c r="B348" s="47"/>
      <c r="C348" s="47"/>
      <c r="D348" s="47"/>
      <c r="E348" s="56"/>
      <c r="F348" s="47"/>
      <c r="G348" s="47"/>
      <c r="H348" s="47"/>
      <c r="I348" s="48" t="str">
        <f t="shared" si="10"/>
        <v/>
      </c>
      <c r="J348" s="48" t="str">
        <f t="shared" si="11"/>
        <v/>
      </c>
    </row>
    <row r="349" spans="1:10" ht="16" x14ac:dyDescent="0.2">
      <c r="A349" s="50"/>
      <c r="B349" s="47"/>
      <c r="C349" s="47"/>
      <c r="D349" s="47"/>
      <c r="E349" s="56"/>
      <c r="F349" s="47"/>
      <c r="G349" s="47"/>
      <c r="H349" s="47"/>
      <c r="I349" s="48" t="str">
        <f t="shared" si="10"/>
        <v/>
      </c>
      <c r="J349" s="48" t="str">
        <f t="shared" si="11"/>
        <v/>
      </c>
    </row>
    <row r="350" spans="1:10" ht="16" x14ac:dyDescent="0.2">
      <c r="A350" s="50"/>
      <c r="B350" s="47"/>
      <c r="C350" s="47"/>
      <c r="D350" s="47"/>
      <c r="E350" s="56"/>
      <c r="F350" s="47"/>
      <c r="G350" s="47"/>
      <c r="H350" s="47"/>
      <c r="I350" s="48" t="str">
        <f t="shared" si="10"/>
        <v/>
      </c>
      <c r="J350" s="48" t="str">
        <f t="shared" si="11"/>
        <v/>
      </c>
    </row>
    <row r="351" spans="1:10" ht="16" x14ac:dyDescent="0.2">
      <c r="A351" s="50"/>
      <c r="B351" s="47"/>
      <c r="C351" s="47"/>
      <c r="D351" s="47"/>
      <c r="E351" s="56"/>
      <c r="F351" s="47"/>
      <c r="G351" s="47"/>
      <c r="H351" s="47"/>
      <c r="I351" s="48" t="str">
        <f t="shared" si="10"/>
        <v/>
      </c>
      <c r="J351" s="48" t="str">
        <f t="shared" si="11"/>
        <v/>
      </c>
    </row>
    <row r="352" spans="1:10" ht="16" x14ac:dyDescent="0.2">
      <c r="A352" s="50"/>
      <c r="B352" s="47"/>
      <c r="C352" s="47"/>
      <c r="D352" s="47"/>
      <c r="E352" s="56"/>
      <c r="F352" s="47"/>
      <c r="G352" s="47"/>
      <c r="H352" s="47"/>
      <c r="I352" s="48" t="str">
        <f t="shared" si="10"/>
        <v/>
      </c>
      <c r="J352" s="48" t="str">
        <f t="shared" si="11"/>
        <v/>
      </c>
    </row>
    <row r="353" spans="1:10" ht="16" x14ac:dyDescent="0.2">
      <c r="A353" s="50"/>
      <c r="B353" s="47"/>
      <c r="C353" s="47"/>
      <c r="D353" s="47"/>
      <c r="E353" s="56"/>
      <c r="F353" s="47"/>
      <c r="G353" s="47"/>
      <c r="H353" s="47"/>
      <c r="I353" s="48" t="str">
        <f t="shared" si="10"/>
        <v/>
      </c>
      <c r="J353" s="48" t="str">
        <f t="shared" si="11"/>
        <v/>
      </c>
    </row>
    <row r="354" spans="1:10" ht="16" x14ac:dyDescent="0.2">
      <c r="A354" s="50"/>
      <c r="B354" s="47"/>
      <c r="C354" s="47"/>
      <c r="D354" s="47"/>
      <c r="E354" s="56"/>
      <c r="F354" s="47"/>
      <c r="G354" s="47"/>
      <c r="H354" s="47"/>
      <c r="I354" s="48" t="str">
        <f t="shared" si="10"/>
        <v/>
      </c>
      <c r="J354" s="48" t="str">
        <f t="shared" si="11"/>
        <v/>
      </c>
    </row>
    <row r="355" spans="1:10" ht="16" x14ac:dyDescent="0.2">
      <c r="A355" s="50"/>
      <c r="B355" s="47"/>
      <c r="C355" s="47"/>
      <c r="D355" s="47"/>
      <c r="E355" s="56"/>
      <c r="F355" s="47"/>
      <c r="G355" s="47"/>
      <c r="H355" s="47"/>
      <c r="I355" s="48" t="str">
        <f t="shared" si="10"/>
        <v/>
      </c>
      <c r="J355" s="48" t="str">
        <f t="shared" si="11"/>
        <v/>
      </c>
    </row>
    <row r="356" spans="1:10" ht="16" x14ac:dyDescent="0.2">
      <c r="A356" s="50"/>
      <c r="B356" s="47"/>
      <c r="C356" s="47"/>
      <c r="D356" s="47"/>
      <c r="E356" s="56"/>
      <c r="F356" s="47"/>
      <c r="G356" s="47"/>
      <c r="H356" s="47"/>
      <c r="I356" s="48" t="str">
        <f t="shared" si="10"/>
        <v/>
      </c>
      <c r="J356" s="48" t="str">
        <f t="shared" si="11"/>
        <v/>
      </c>
    </row>
    <row r="357" spans="1:10" ht="16" x14ac:dyDescent="0.2">
      <c r="A357" s="50"/>
      <c r="B357" s="47"/>
      <c r="C357" s="47"/>
      <c r="D357" s="47"/>
      <c r="E357" s="56"/>
      <c r="F357" s="47"/>
      <c r="G357" s="47"/>
      <c r="H357" s="47"/>
      <c r="I357" s="48" t="str">
        <f t="shared" si="10"/>
        <v/>
      </c>
      <c r="J357" s="48" t="str">
        <f t="shared" si="11"/>
        <v/>
      </c>
    </row>
    <row r="358" spans="1:10" ht="16" x14ac:dyDescent="0.2">
      <c r="A358" s="50"/>
      <c r="B358" s="47"/>
      <c r="C358" s="47"/>
      <c r="D358" s="47"/>
      <c r="E358" s="56"/>
      <c r="F358" s="47"/>
      <c r="G358" s="47"/>
      <c r="H358" s="47"/>
      <c r="I358" s="48" t="str">
        <f t="shared" si="10"/>
        <v/>
      </c>
      <c r="J358" s="48" t="str">
        <f t="shared" si="11"/>
        <v/>
      </c>
    </row>
    <row r="359" spans="1:10" ht="16" x14ac:dyDescent="0.2">
      <c r="A359" s="50"/>
      <c r="B359" s="47"/>
      <c r="C359" s="47"/>
      <c r="D359" s="47"/>
      <c r="E359" s="56"/>
      <c r="F359" s="47"/>
      <c r="G359" s="47"/>
      <c r="H359" s="47"/>
      <c r="I359" s="48" t="str">
        <f t="shared" si="10"/>
        <v/>
      </c>
      <c r="J359" s="48" t="str">
        <f t="shared" si="11"/>
        <v/>
      </c>
    </row>
    <row r="360" spans="1:10" ht="16" x14ac:dyDescent="0.2">
      <c r="A360" s="50"/>
      <c r="B360" s="47"/>
      <c r="C360" s="47"/>
      <c r="D360" s="47"/>
      <c r="E360" s="56"/>
      <c r="F360" s="47"/>
      <c r="G360" s="47"/>
      <c r="H360" s="47"/>
      <c r="I360" s="48" t="str">
        <f t="shared" si="10"/>
        <v/>
      </c>
      <c r="J360" s="48" t="str">
        <f t="shared" si="11"/>
        <v/>
      </c>
    </row>
    <row r="361" spans="1:10" ht="16" x14ac:dyDescent="0.2">
      <c r="A361" s="50"/>
      <c r="B361" s="47"/>
      <c r="C361" s="47"/>
      <c r="D361" s="47"/>
      <c r="E361" s="56"/>
      <c r="F361" s="47"/>
      <c r="G361" s="47"/>
      <c r="H361" s="47"/>
      <c r="I361" s="48" t="str">
        <f t="shared" si="10"/>
        <v/>
      </c>
      <c r="J361" s="48" t="str">
        <f t="shared" si="11"/>
        <v/>
      </c>
    </row>
    <row r="362" spans="1:10" ht="16" x14ac:dyDescent="0.2">
      <c r="A362" s="50"/>
      <c r="B362" s="47"/>
      <c r="C362" s="47"/>
      <c r="D362" s="47"/>
      <c r="E362" s="56"/>
      <c r="F362" s="47"/>
      <c r="G362" s="47"/>
      <c r="H362" s="47"/>
      <c r="I362" s="48" t="str">
        <f t="shared" si="10"/>
        <v/>
      </c>
      <c r="J362" s="48" t="str">
        <f t="shared" si="11"/>
        <v/>
      </c>
    </row>
    <row r="363" spans="1:10" ht="16" x14ac:dyDescent="0.2">
      <c r="A363" s="50"/>
      <c r="B363" s="47"/>
      <c r="C363" s="47"/>
      <c r="D363" s="47"/>
      <c r="E363" s="56"/>
      <c r="F363" s="47"/>
      <c r="G363" s="47"/>
      <c r="H363" s="47"/>
      <c r="I363" s="48" t="str">
        <f t="shared" si="10"/>
        <v/>
      </c>
      <c r="J363" s="48" t="str">
        <f t="shared" si="11"/>
        <v/>
      </c>
    </row>
    <row r="364" spans="1:10" ht="16" x14ac:dyDescent="0.2">
      <c r="A364" s="50"/>
      <c r="B364" s="47"/>
      <c r="C364" s="47"/>
      <c r="D364" s="47"/>
      <c r="E364" s="56"/>
      <c r="F364" s="47"/>
      <c r="G364" s="47"/>
      <c r="H364" s="47"/>
      <c r="I364" s="48" t="str">
        <f t="shared" si="10"/>
        <v/>
      </c>
      <c r="J364" s="48" t="str">
        <f t="shared" si="11"/>
        <v/>
      </c>
    </row>
    <row r="365" spans="1:10" ht="16" x14ac:dyDescent="0.2">
      <c r="A365" s="50"/>
      <c r="B365" s="47"/>
      <c r="C365" s="47"/>
      <c r="D365" s="47"/>
      <c r="E365" s="56"/>
      <c r="F365" s="47"/>
      <c r="G365" s="47"/>
      <c r="H365" s="47"/>
      <c r="I365" s="48" t="str">
        <f t="shared" si="10"/>
        <v/>
      </c>
      <c r="J365" s="48" t="str">
        <f t="shared" si="11"/>
        <v/>
      </c>
    </row>
    <row r="366" spans="1:10" ht="16" x14ac:dyDescent="0.2">
      <c r="A366" s="50"/>
      <c r="B366" s="47"/>
      <c r="C366" s="47"/>
      <c r="D366" s="47"/>
      <c r="E366" s="56"/>
      <c r="F366" s="47"/>
      <c r="G366" s="47"/>
      <c r="H366" s="47"/>
      <c r="I366" s="48" t="str">
        <f t="shared" si="10"/>
        <v/>
      </c>
      <c r="J366" s="48" t="str">
        <f t="shared" si="11"/>
        <v/>
      </c>
    </row>
    <row r="367" spans="1:10" ht="16" x14ac:dyDescent="0.2">
      <c r="A367" s="50"/>
      <c r="B367" s="47"/>
      <c r="C367" s="47"/>
      <c r="D367" s="47"/>
      <c r="E367" s="56"/>
      <c r="F367" s="47"/>
      <c r="G367" s="47"/>
      <c r="H367" s="47"/>
      <c r="I367" s="48" t="str">
        <f t="shared" si="10"/>
        <v/>
      </c>
      <c r="J367" s="48" t="str">
        <f t="shared" si="11"/>
        <v/>
      </c>
    </row>
    <row r="368" spans="1:10" ht="16" x14ac:dyDescent="0.2">
      <c r="A368" s="50"/>
      <c r="B368" s="47"/>
      <c r="C368" s="47"/>
      <c r="D368" s="47"/>
      <c r="E368" s="56"/>
      <c r="F368" s="47"/>
      <c r="G368" s="47"/>
      <c r="H368" s="47"/>
      <c r="I368" s="48" t="str">
        <f t="shared" si="10"/>
        <v/>
      </c>
      <c r="J368" s="48" t="str">
        <f t="shared" si="11"/>
        <v/>
      </c>
    </row>
    <row r="369" spans="1:10" ht="16" x14ac:dyDescent="0.2">
      <c r="A369" s="50"/>
      <c r="B369" s="47"/>
      <c r="C369" s="47"/>
      <c r="D369" s="47"/>
      <c r="E369" s="56"/>
      <c r="F369" s="47"/>
      <c r="G369" s="47"/>
      <c r="H369" s="47"/>
      <c r="I369" s="48" t="str">
        <f t="shared" si="10"/>
        <v/>
      </c>
      <c r="J369" s="48" t="str">
        <f t="shared" si="11"/>
        <v/>
      </c>
    </row>
    <row r="370" spans="1:10" ht="16" x14ac:dyDescent="0.2">
      <c r="A370" s="50"/>
      <c r="B370" s="47"/>
      <c r="C370" s="47"/>
      <c r="D370" s="47"/>
      <c r="E370" s="56"/>
      <c r="F370" s="47"/>
      <c r="G370" s="47"/>
      <c r="H370" s="47"/>
      <c r="I370" s="48" t="str">
        <f t="shared" si="10"/>
        <v/>
      </c>
      <c r="J370" s="48" t="str">
        <f t="shared" si="11"/>
        <v/>
      </c>
    </row>
    <row r="371" spans="1:10" ht="16" x14ac:dyDescent="0.2">
      <c r="A371" s="50"/>
      <c r="B371" s="47"/>
      <c r="C371" s="47"/>
      <c r="D371" s="47"/>
      <c r="E371" s="56"/>
      <c r="F371" s="47"/>
      <c r="G371" s="47"/>
      <c r="H371" s="47"/>
      <c r="I371" s="48" t="str">
        <f t="shared" si="10"/>
        <v/>
      </c>
      <c r="J371" s="48" t="str">
        <f t="shared" si="11"/>
        <v/>
      </c>
    </row>
    <row r="372" spans="1:10" ht="16" x14ac:dyDescent="0.2">
      <c r="A372" s="50"/>
      <c r="B372" s="47"/>
      <c r="C372" s="47"/>
      <c r="D372" s="47"/>
      <c r="E372" s="56"/>
      <c r="F372" s="47"/>
      <c r="G372" s="47"/>
      <c r="H372" s="47"/>
      <c r="I372" s="48" t="str">
        <f t="shared" si="10"/>
        <v/>
      </c>
      <c r="J372" s="48" t="str">
        <f t="shared" si="11"/>
        <v/>
      </c>
    </row>
    <row r="373" spans="1:10" ht="16" x14ac:dyDescent="0.2">
      <c r="A373" s="50"/>
      <c r="B373" s="47"/>
      <c r="C373" s="47"/>
      <c r="D373" s="47"/>
      <c r="E373" s="56"/>
      <c r="F373" s="47"/>
      <c r="G373" s="47"/>
      <c r="H373" s="47"/>
      <c r="I373" s="48" t="str">
        <f t="shared" si="10"/>
        <v/>
      </c>
      <c r="J373" s="48" t="str">
        <f t="shared" si="11"/>
        <v/>
      </c>
    </row>
    <row r="374" spans="1:10" ht="16" x14ac:dyDescent="0.2">
      <c r="A374" s="50"/>
      <c r="B374" s="47"/>
      <c r="C374" s="47"/>
      <c r="D374" s="47"/>
      <c r="E374" s="56"/>
      <c r="F374" s="47"/>
      <c r="G374" s="47"/>
      <c r="H374" s="47"/>
      <c r="I374" s="48" t="str">
        <f t="shared" si="10"/>
        <v/>
      </c>
      <c r="J374" s="48" t="str">
        <f t="shared" si="11"/>
        <v/>
      </c>
    </row>
    <row r="375" spans="1:10" ht="16" x14ac:dyDescent="0.2">
      <c r="A375" s="50"/>
      <c r="B375" s="47"/>
      <c r="C375" s="47"/>
      <c r="D375" s="47"/>
      <c r="E375" s="56"/>
      <c r="F375" s="47"/>
      <c r="G375" s="47"/>
      <c r="H375" s="47"/>
      <c r="I375" s="48" t="str">
        <f t="shared" si="10"/>
        <v/>
      </c>
      <c r="J375" s="48" t="str">
        <f t="shared" si="11"/>
        <v/>
      </c>
    </row>
    <row r="376" spans="1:10" ht="16" x14ac:dyDescent="0.2">
      <c r="A376" s="50"/>
      <c r="B376" s="47"/>
      <c r="C376" s="47"/>
      <c r="D376" s="47"/>
      <c r="E376" s="56"/>
      <c r="F376" s="47"/>
      <c r="G376" s="47"/>
      <c r="H376" s="47"/>
      <c r="I376" s="48" t="str">
        <f t="shared" si="10"/>
        <v/>
      </c>
      <c r="J376" s="48" t="str">
        <f t="shared" si="11"/>
        <v/>
      </c>
    </row>
    <row r="377" spans="1:10" ht="16" x14ac:dyDescent="0.2">
      <c r="A377" s="50"/>
      <c r="B377" s="47"/>
      <c r="C377" s="47"/>
      <c r="D377" s="47"/>
      <c r="E377" s="56"/>
      <c r="F377" s="47"/>
      <c r="G377" s="47"/>
      <c r="H377" s="47"/>
      <c r="I377" s="48" t="str">
        <f t="shared" si="10"/>
        <v/>
      </c>
      <c r="J377" s="48" t="str">
        <f t="shared" si="11"/>
        <v/>
      </c>
    </row>
    <row r="378" spans="1:10" ht="16" x14ac:dyDescent="0.2">
      <c r="A378" s="50"/>
      <c r="B378" s="47"/>
      <c r="C378" s="47"/>
      <c r="D378" s="47"/>
      <c r="E378" s="56"/>
      <c r="F378" s="47"/>
      <c r="G378" s="47"/>
      <c r="H378" s="47"/>
      <c r="I378" s="48" t="str">
        <f t="shared" si="10"/>
        <v/>
      </c>
      <c r="J378" s="48" t="str">
        <f t="shared" si="11"/>
        <v/>
      </c>
    </row>
    <row r="379" spans="1:10" ht="16" x14ac:dyDescent="0.2">
      <c r="A379" s="50"/>
      <c r="B379" s="47"/>
      <c r="C379" s="47"/>
      <c r="D379" s="47"/>
      <c r="E379" s="56"/>
      <c r="F379" s="47"/>
      <c r="G379" s="47"/>
      <c r="H379" s="47"/>
      <c r="I379" s="48" t="str">
        <f t="shared" si="10"/>
        <v/>
      </c>
      <c r="J379" s="48" t="str">
        <f t="shared" si="11"/>
        <v/>
      </c>
    </row>
    <row r="380" spans="1:10" ht="16" x14ac:dyDescent="0.2">
      <c r="A380" s="50"/>
      <c r="B380" s="47"/>
      <c r="C380" s="47"/>
      <c r="D380" s="47"/>
      <c r="E380" s="56"/>
      <c r="F380" s="47"/>
      <c r="G380" s="47"/>
      <c r="H380" s="47"/>
      <c r="I380" s="48" t="str">
        <f t="shared" si="10"/>
        <v/>
      </c>
      <c r="J380" s="48" t="str">
        <f t="shared" si="11"/>
        <v/>
      </c>
    </row>
    <row r="381" spans="1:10" ht="16" x14ac:dyDescent="0.2">
      <c r="A381" s="50"/>
      <c r="B381" s="47"/>
      <c r="C381" s="47"/>
      <c r="D381" s="47"/>
      <c r="E381" s="56"/>
      <c r="F381" s="47"/>
      <c r="G381" s="47"/>
      <c r="H381" s="47"/>
      <c r="I381" s="48" t="str">
        <f t="shared" si="10"/>
        <v/>
      </c>
      <c r="J381" s="48" t="str">
        <f t="shared" si="11"/>
        <v/>
      </c>
    </row>
    <row r="382" spans="1:10" ht="16" x14ac:dyDescent="0.2">
      <c r="A382" s="50"/>
      <c r="B382" s="47"/>
      <c r="C382" s="47"/>
      <c r="D382" s="47"/>
      <c r="E382" s="56"/>
      <c r="F382" s="47"/>
      <c r="G382" s="47"/>
      <c r="H382" s="47"/>
      <c r="I382" s="48" t="str">
        <f t="shared" si="10"/>
        <v/>
      </c>
      <c r="J382" s="48" t="str">
        <f t="shared" si="11"/>
        <v/>
      </c>
    </row>
    <row r="383" spans="1:10" ht="16" x14ac:dyDescent="0.2">
      <c r="A383" s="50"/>
      <c r="B383" s="47"/>
      <c r="C383" s="47"/>
      <c r="D383" s="47"/>
      <c r="E383" s="56"/>
      <c r="F383" s="47"/>
      <c r="G383" s="47"/>
      <c r="H383" s="47"/>
      <c r="I383" s="48" t="str">
        <f t="shared" si="10"/>
        <v/>
      </c>
      <c r="J383" s="48" t="str">
        <f t="shared" si="11"/>
        <v/>
      </c>
    </row>
    <row r="384" spans="1:10" ht="16" x14ac:dyDescent="0.2">
      <c r="A384" s="50"/>
      <c r="B384" s="47"/>
      <c r="C384" s="47"/>
      <c r="D384" s="47"/>
      <c r="E384" s="56"/>
      <c r="F384" s="47"/>
      <c r="G384" s="47"/>
      <c r="H384" s="47"/>
      <c r="I384" s="48" t="str">
        <f t="shared" si="10"/>
        <v/>
      </c>
      <c r="J384" s="48" t="str">
        <f t="shared" si="11"/>
        <v/>
      </c>
    </row>
    <row r="385" spans="1:10" ht="16" x14ac:dyDescent="0.2">
      <c r="A385" s="50"/>
      <c r="B385" s="47"/>
      <c r="C385" s="47"/>
      <c r="D385" s="47"/>
      <c r="E385" s="56"/>
      <c r="F385" s="47"/>
      <c r="G385" s="47"/>
      <c r="H385" s="47"/>
      <c r="I385" s="48" t="str">
        <f t="shared" si="10"/>
        <v/>
      </c>
      <c r="J385" s="48" t="str">
        <f t="shared" si="11"/>
        <v/>
      </c>
    </row>
    <row r="386" spans="1:10" ht="16" x14ac:dyDescent="0.2">
      <c r="A386" s="50"/>
      <c r="B386" s="47"/>
      <c r="C386" s="47"/>
      <c r="D386" s="47"/>
      <c r="E386" s="56"/>
      <c r="F386" s="47"/>
      <c r="G386" s="47"/>
      <c r="H386" s="47"/>
      <c r="I386" s="48" t="str">
        <f t="shared" si="10"/>
        <v/>
      </c>
      <c r="J386" s="48" t="str">
        <f t="shared" si="11"/>
        <v/>
      </c>
    </row>
    <row r="387" spans="1:10" ht="16" x14ac:dyDescent="0.2">
      <c r="A387" s="50"/>
      <c r="B387" s="47"/>
      <c r="C387" s="47"/>
      <c r="D387" s="47"/>
      <c r="E387" s="56"/>
      <c r="F387" s="47"/>
      <c r="G387" s="47"/>
      <c r="H387" s="47"/>
      <c r="I387" s="48" t="str">
        <f t="shared" si="10"/>
        <v/>
      </c>
      <c r="J387" s="48" t="str">
        <f t="shared" si="11"/>
        <v/>
      </c>
    </row>
    <row r="388" spans="1:10" ht="16" x14ac:dyDescent="0.2">
      <c r="A388" s="50"/>
      <c r="B388" s="47"/>
      <c r="C388" s="47"/>
      <c r="D388" s="47"/>
      <c r="E388" s="56"/>
      <c r="F388" s="47"/>
      <c r="G388" s="47"/>
      <c r="H388" s="47"/>
      <c r="I388" s="48" t="str">
        <f t="shared" si="10"/>
        <v/>
      </c>
      <c r="J388" s="48" t="str">
        <f t="shared" si="11"/>
        <v/>
      </c>
    </row>
    <row r="389" spans="1:10" ht="16" x14ac:dyDescent="0.2">
      <c r="A389" s="50"/>
      <c r="B389" s="47"/>
      <c r="C389" s="47"/>
      <c r="D389" s="47"/>
      <c r="E389" s="56"/>
      <c r="F389" s="47"/>
      <c r="G389" s="47"/>
      <c r="H389" s="47"/>
      <c r="I389" s="48" t="str">
        <f t="shared" si="10"/>
        <v/>
      </c>
      <c r="J389" s="48" t="str">
        <f t="shared" si="11"/>
        <v/>
      </c>
    </row>
    <row r="390" spans="1:10" ht="16" x14ac:dyDescent="0.2">
      <c r="A390" s="50"/>
      <c r="B390" s="47"/>
      <c r="C390" s="47"/>
      <c r="D390" s="47"/>
      <c r="E390" s="56"/>
      <c r="F390" s="47"/>
      <c r="G390" s="47"/>
      <c r="H390" s="47"/>
      <c r="I390" s="48" t="str">
        <f t="shared" si="10"/>
        <v/>
      </c>
      <c r="J390" s="48" t="str">
        <f t="shared" si="11"/>
        <v/>
      </c>
    </row>
    <row r="391" spans="1:10" ht="16" x14ac:dyDescent="0.2">
      <c r="A391" s="50"/>
      <c r="B391" s="47"/>
      <c r="C391" s="47"/>
      <c r="D391" s="47"/>
      <c r="E391" s="56"/>
      <c r="F391" s="47"/>
      <c r="G391" s="47"/>
      <c r="H391" s="47"/>
      <c r="I391" s="48" t="str">
        <f t="shared" ref="I391:I454" si="12">IF(OR(A391="",E391=""),"",YEAR(A391))</f>
        <v/>
      </c>
      <c r="J391" s="48" t="str">
        <f t="shared" ref="J391:J454" si="13">IF(OR(A391="",E391=""),"",YEAR(A391)*100+MONTH(A391))</f>
        <v/>
      </c>
    </row>
    <row r="392" spans="1:10" ht="16" x14ac:dyDescent="0.2">
      <c r="A392" s="50"/>
      <c r="B392" s="47"/>
      <c r="C392" s="47"/>
      <c r="D392" s="47"/>
      <c r="E392" s="56"/>
      <c r="F392" s="47"/>
      <c r="G392" s="47"/>
      <c r="H392" s="47"/>
      <c r="I392" s="48" t="str">
        <f t="shared" si="12"/>
        <v/>
      </c>
      <c r="J392" s="48" t="str">
        <f t="shared" si="13"/>
        <v/>
      </c>
    </row>
    <row r="393" spans="1:10" ht="16" x14ac:dyDescent="0.2">
      <c r="A393" s="50"/>
      <c r="B393" s="47"/>
      <c r="C393" s="47"/>
      <c r="D393" s="47"/>
      <c r="E393" s="56"/>
      <c r="F393" s="47"/>
      <c r="G393" s="47"/>
      <c r="H393" s="47"/>
      <c r="I393" s="48" t="str">
        <f t="shared" si="12"/>
        <v/>
      </c>
      <c r="J393" s="48" t="str">
        <f t="shared" si="13"/>
        <v/>
      </c>
    </row>
    <row r="394" spans="1:10" ht="16" x14ac:dyDescent="0.2">
      <c r="A394" s="50"/>
      <c r="B394" s="47"/>
      <c r="C394" s="47"/>
      <c r="D394" s="47"/>
      <c r="E394" s="56"/>
      <c r="F394" s="47"/>
      <c r="G394" s="47"/>
      <c r="H394" s="47"/>
      <c r="I394" s="48" t="str">
        <f t="shared" si="12"/>
        <v/>
      </c>
      <c r="J394" s="48" t="str">
        <f t="shared" si="13"/>
        <v/>
      </c>
    </row>
    <row r="395" spans="1:10" ht="16" x14ac:dyDescent="0.2">
      <c r="A395" s="50"/>
      <c r="B395" s="47"/>
      <c r="C395" s="47"/>
      <c r="D395" s="47"/>
      <c r="E395" s="56"/>
      <c r="F395" s="47"/>
      <c r="G395" s="47"/>
      <c r="H395" s="47"/>
      <c r="I395" s="48" t="str">
        <f t="shared" si="12"/>
        <v/>
      </c>
      <c r="J395" s="48" t="str">
        <f t="shared" si="13"/>
        <v/>
      </c>
    </row>
    <row r="396" spans="1:10" ht="16" x14ac:dyDescent="0.2">
      <c r="A396" s="50"/>
      <c r="B396" s="47"/>
      <c r="C396" s="47"/>
      <c r="D396" s="47"/>
      <c r="E396" s="56"/>
      <c r="F396" s="47"/>
      <c r="G396" s="47"/>
      <c r="H396" s="47"/>
      <c r="I396" s="48" t="str">
        <f t="shared" si="12"/>
        <v/>
      </c>
      <c r="J396" s="48" t="str">
        <f t="shared" si="13"/>
        <v/>
      </c>
    </row>
    <row r="397" spans="1:10" ht="16" x14ac:dyDescent="0.2">
      <c r="A397" s="50"/>
      <c r="B397" s="47"/>
      <c r="C397" s="47"/>
      <c r="D397" s="47"/>
      <c r="E397" s="56"/>
      <c r="F397" s="47"/>
      <c r="G397" s="47"/>
      <c r="H397" s="47"/>
      <c r="I397" s="48" t="str">
        <f t="shared" si="12"/>
        <v/>
      </c>
      <c r="J397" s="48" t="str">
        <f t="shared" si="13"/>
        <v/>
      </c>
    </row>
    <row r="398" spans="1:10" ht="16" x14ac:dyDescent="0.2">
      <c r="A398" s="50"/>
      <c r="B398" s="47"/>
      <c r="C398" s="47"/>
      <c r="D398" s="47"/>
      <c r="E398" s="56"/>
      <c r="F398" s="47"/>
      <c r="G398" s="47"/>
      <c r="H398" s="47"/>
      <c r="I398" s="48" t="str">
        <f t="shared" si="12"/>
        <v/>
      </c>
      <c r="J398" s="48" t="str">
        <f t="shared" si="13"/>
        <v/>
      </c>
    </row>
    <row r="399" spans="1:10" ht="16" x14ac:dyDescent="0.2">
      <c r="A399" s="50"/>
      <c r="B399" s="47"/>
      <c r="C399" s="47"/>
      <c r="D399" s="47"/>
      <c r="E399" s="56"/>
      <c r="F399" s="47"/>
      <c r="G399" s="47"/>
      <c r="H399" s="47"/>
      <c r="I399" s="48" t="str">
        <f t="shared" si="12"/>
        <v/>
      </c>
      <c r="J399" s="48" t="str">
        <f t="shared" si="13"/>
        <v/>
      </c>
    </row>
    <row r="400" spans="1:10" ht="16" x14ac:dyDescent="0.2">
      <c r="A400" s="50"/>
      <c r="B400" s="47"/>
      <c r="C400" s="47"/>
      <c r="D400" s="47"/>
      <c r="E400" s="56"/>
      <c r="F400" s="47"/>
      <c r="G400" s="47"/>
      <c r="H400" s="47"/>
      <c r="I400" s="48" t="str">
        <f t="shared" si="12"/>
        <v/>
      </c>
      <c r="J400" s="48" t="str">
        <f t="shared" si="13"/>
        <v/>
      </c>
    </row>
    <row r="401" spans="1:10" ht="16" x14ac:dyDescent="0.2">
      <c r="A401" s="50"/>
      <c r="B401" s="47"/>
      <c r="C401" s="47"/>
      <c r="D401" s="47"/>
      <c r="E401" s="56"/>
      <c r="F401" s="47"/>
      <c r="G401" s="47"/>
      <c r="H401" s="47"/>
      <c r="I401" s="48" t="str">
        <f t="shared" si="12"/>
        <v/>
      </c>
      <c r="J401" s="48" t="str">
        <f t="shared" si="13"/>
        <v/>
      </c>
    </row>
    <row r="402" spans="1:10" ht="16" x14ac:dyDescent="0.2">
      <c r="A402" s="50"/>
      <c r="B402" s="47"/>
      <c r="C402" s="47"/>
      <c r="D402" s="47"/>
      <c r="E402" s="56"/>
      <c r="F402" s="47"/>
      <c r="G402" s="47"/>
      <c r="H402" s="47"/>
      <c r="I402" s="48" t="str">
        <f t="shared" si="12"/>
        <v/>
      </c>
      <c r="J402" s="48" t="str">
        <f t="shared" si="13"/>
        <v/>
      </c>
    </row>
    <row r="403" spans="1:10" ht="16" x14ac:dyDescent="0.2">
      <c r="A403" s="50"/>
      <c r="B403" s="47"/>
      <c r="C403" s="47"/>
      <c r="D403" s="47"/>
      <c r="E403" s="56"/>
      <c r="F403" s="47"/>
      <c r="G403" s="47"/>
      <c r="H403" s="47"/>
      <c r="I403" s="48" t="str">
        <f t="shared" si="12"/>
        <v/>
      </c>
      <c r="J403" s="48" t="str">
        <f t="shared" si="13"/>
        <v/>
      </c>
    </row>
    <row r="404" spans="1:10" ht="16" x14ac:dyDescent="0.2">
      <c r="A404" s="50"/>
      <c r="B404" s="47"/>
      <c r="C404" s="47"/>
      <c r="D404" s="47"/>
      <c r="E404" s="56"/>
      <c r="F404" s="47"/>
      <c r="G404" s="47"/>
      <c r="H404" s="47"/>
      <c r="I404" s="48" t="str">
        <f t="shared" si="12"/>
        <v/>
      </c>
      <c r="J404" s="48" t="str">
        <f t="shared" si="13"/>
        <v/>
      </c>
    </row>
    <row r="405" spans="1:10" ht="16" x14ac:dyDescent="0.2">
      <c r="A405" s="50"/>
      <c r="B405" s="47"/>
      <c r="C405" s="47"/>
      <c r="D405" s="47"/>
      <c r="E405" s="56"/>
      <c r="F405" s="47"/>
      <c r="G405" s="47"/>
      <c r="H405" s="47"/>
      <c r="I405" s="48" t="str">
        <f t="shared" si="12"/>
        <v/>
      </c>
      <c r="J405" s="48" t="str">
        <f t="shared" si="13"/>
        <v/>
      </c>
    </row>
    <row r="406" spans="1:10" ht="16" x14ac:dyDescent="0.2">
      <c r="A406" s="50"/>
      <c r="B406" s="47"/>
      <c r="C406" s="47"/>
      <c r="D406" s="47"/>
      <c r="E406" s="56"/>
      <c r="F406" s="47"/>
      <c r="G406" s="47"/>
      <c r="H406" s="47"/>
      <c r="I406" s="48" t="str">
        <f t="shared" si="12"/>
        <v/>
      </c>
      <c r="J406" s="48" t="str">
        <f t="shared" si="13"/>
        <v/>
      </c>
    </row>
    <row r="407" spans="1:10" ht="16" x14ac:dyDescent="0.2">
      <c r="A407" s="50"/>
      <c r="B407" s="47"/>
      <c r="C407" s="47"/>
      <c r="D407" s="47"/>
      <c r="E407" s="56"/>
      <c r="F407" s="47"/>
      <c r="G407" s="47"/>
      <c r="H407" s="47"/>
      <c r="I407" s="48" t="str">
        <f t="shared" si="12"/>
        <v/>
      </c>
      <c r="J407" s="48" t="str">
        <f t="shared" si="13"/>
        <v/>
      </c>
    </row>
    <row r="408" spans="1:10" ht="16" x14ac:dyDescent="0.2">
      <c r="A408" s="50"/>
      <c r="B408" s="47"/>
      <c r="C408" s="47"/>
      <c r="D408" s="47"/>
      <c r="E408" s="56"/>
      <c r="F408" s="47"/>
      <c r="G408" s="47"/>
      <c r="H408" s="47"/>
      <c r="I408" s="48" t="str">
        <f t="shared" si="12"/>
        <v/>
      </c>
      <c r="J408" s="48" t="str">
        <f t="shared" si="13"/>
        <v/>
      </c>
    </row>
    <row r="409" spans="1:10" ht="16" x14ac:dyDescent="0.2">
      <c r="A409" s="50"/>
      <c r="B409" s="47"/>
      <c r="C409" s="47"/>
      <c r="D409" s="47"/>
      <c r="E409" s="56"/>
      <c r="F409" s="47"/>
      <c r="G409" s="47"/>
      <c r="H409" s="47"/>
      <c r="I409" s="48" t="str">
        <f t="shared" si="12"/>
        <v/>
      </c>
      <c r="J409" s="48" t="str">
        <f t="shared" si="13"/>
        <v/>
      </c>
    </row>
    <row r="410" spans="1:10" ht="16" x14ac:dyDescent="0.2">
      <c r="A410" s="50"/>
      <c r="B410" s="47"/>
      <c r="C410" s="47"/>
      <c r="D410" s="47"/>
      <c r="E410" s="56"/>
      <c r="F410" s="47"/>
      <c r="G410" s="47"/>
      <c r="H410" s="47"/>
      <c r="I410" s="48" t="str">
        <f t="shared" si="12"/>
        <v/>
      </c>
      <c r="J410" s="48" t="str">
        <f t="shared" si="13"/>
        <v/>
      </c>
    </row>
    <row r="411" spans="1:10" ht="16" x14ac:dyDescent="0.2">
      <c r="A411" s="50"/>
      <c r="B411" s="47"/>
      <c r="C411" s="47"/>
      <c r="D411" s="47"/>
      <c r="E411" s="56"/>
      <c r="F411" s="47"/>
      <c r="G411" s="47"/>
      <c r="H411" s="47"/>
      <c r="I411" s="48" t="str">
        <f t="shared" si="12"/>
        <v/>
      </c>
      <c r="J411" s="48" t="str">
        <f t="shared" si="13"/>
        <v/>
      </c>
    </row>
    <row r="412" spans="1:10" ht="16" x14ac:dyDescent="0.2">
      <c r="A412" s="50"/>
      <c r="B412" s="47"/>
      <c r="C412" s="47"/>
      <c r="D412" s="47"/>
      <c r="E412" s="56"/>
      <c r="F412" s="47"/>
      <c r="G412" s="47"/>
      <c r="H412" s="47"/>
      <c r="I412" s="48" t="str">
        <f t="shared" si="12"/>
        <v/>
      </c>
      <c r="J412" s="48" t="str">
        <f t="shared" si="13"/>
        <v/>
      </c>
    </row>
    <row r="413" spans="1:10" ht="16" x14ac:dyDescent="0.2">
      <c r="A413" s="50"/>
      <c r="B413" s="47"/>
      <c r="C413" s="47"/>
      <c r="D413" s="47"/>
      <c r="E413" s="56"/>
      <c r="F413" s="47"/>
      <c r="G413" s="47"/>
      <c r="H413" s="47"/>
      <c r="I413" s="48" t="str">
        <f t="shared" si="12"/>
        <v/>
      </c>
      <c r="J413" s="48" t="str">
        <f t="shared" si="13"/>
        <v/>
      </c>
    </row>
    <row r="414" spans="1:10" ht="16" x14ac:dyDescent="0.2">
      <c r="A414" s="50"/>
      <c r="B414" s="47"/>
      <c r="C414" s="47"/>
      <c r="D414" s="47"/>
      <c r="E414" s="56"/>
      <c r="F414" s="47"/>
      <c r="G414" s="47"/>
      <c r="H414" s="47"/>
      <c r="I414" s="48" t="str">
        <f t="shared" si="12"/>
        <v/>
      </c>
      <c r="J414" s="48" t="str">
        <f t="shared" si="13"/>
        <v/>
      </c>
    </row>
    <row r="415" spans="1:10" ht="16" x14ac:dyDescent="0.2">
      <c r="A415" s="50"/>
      <c r="B415" s="47"/>
      <c r="C415" s="47"/>
      <c r="D415" s="47"/>
      <c r="E415" s="56"/>
      <c r="F415" s="47"/>
      <c r="G415" s="47"/>
      <c r="H415" s="47"/>
      <c r="I415" s="48" t="str">
        <f t="shared" si="12"/>
        <v/>
      </c>
      <c r="J415" s="48" t="str">
        <f t="shared" si="13"/>
        <v/>
      </c>
    </row>
    <row r="416" spans="1:10" ht="16" x14ac:dyDescent="0.2">
      <c r="A416" s="50"/>
      <c r="B416" s="47"/>
      <c r="C416" s="47"/>
      <c r="D416" s="47"/>
      <c r="E416" s="56"/>
      <c r="F416" s="47"/>
      <c r="G416" s="47"/>
      <c r="H416" s="47"/>
      <c r="I416" s="48" t="str">
        <f t="shared" si="12"/>
        <v/>
      </c>
      <c r="J416" s="48" t="str">
        <f t="shared" si="13"/>
        <v/>
      </c>
    </row>
    <row r="417" spans="1:10" ht="16" x14ac:dyDescent="0.2">
      <c r="A417" s="50"/>
      <c r="B417" s="47"/>
      <c r="C417" s="47"/>
      <c r="D417" s="47"/>
      <c r="E417" s="56"/>
      <c r="F417" s="47"/>
      <c r="G417" s="47"/>
      <c r="H417" s="47"/>
      <c r="I417" s="48" t="str">
        <f t="shared" si="12"/>
        <v/>
      </c>
      <c r="J417" s="48" t="str">
        <f t="shared" si="13"/>
        <v/>
      </c>
    </row>
    <row r="418" spans="1:10" ht="16" x14ac:dyDescent="0.2">
      <c r="A418" s="50"/>
      <c r="B418" s="47"/>
      <c r="C418" s="47"/>
      <c r="D418" s="47"/>
      <c r="E418" s="56"/>
      <c r="F418" s="47"/>
      <c r="G418" s="47"/>
      <c r="H418" s="47"/>
      <c r="I418" s="48" t="str">
        <f t="shared" si="12"/>
        <v/>
      </c>
      <c r="J418" s="48" t="str">
        <f t="shared" si="13"/>
        <v/>
      </c>
    </row>
    <row r="419" spans="1:10" ht="16" x14ac:dyDescent="0.2">
      <c r="A419" s="50"/>
      <c r="B419" s="47"/>
      <c r="C419" s="47"/>
      <c r="D419" s="47"/>
      <c r="E419" s="56"/>
      <c r="F419" s="47"/>
      <c r="G419" s="47"/>
      <c r="H419" s="47"/>
      <c r="I419" s="48" t="str">
        <f t="shared" si="12"/>
        <v/>
      </c>
      <c r="J419" s="48" t="str">
        <f t="shared" si="13"/>
        <v/>
      </c>
    </row>
    <row r="420" spans="1:10" ht="16" x14ac:dyDescent="0.2">
      <c r="A420" s="50"/>
      <c r="B420" s="47"/>
      <c r="C420" s="47"/>
      <c r="D420" s="47"/>
      <c r="E420" s="56"/>
      <c r="F420" s="47"/>
      <c r="G420" s="47"/>
      <c r="H420" s="47"/>
      <c r="I420" s="48" t="str">
        <f t="shared" si="12"/>
        <v/>
      </c>
      <c r="J420" s="48" t="str">
        <f t="shared" si="13"/>
        <v/>
      </c>
    </row>
    <row r="421" spans="1:10" ht="16" x14ac:dyDescent="0.2">
      <c r="A421" s="50"/>
      <c r="B421" s="47"/>
      <c r="C421" s="47"/>
      <c r="D421" s="47"/>
      <c r="E421" s="56"/>
      <c r="F421" s="47"/>
      <c r="G421" s="47"/>
      <c r="H421" s="47"/>
      <c r="I421" s="48" t="str">
        <f t="shared" si="12"/>
        <v/>
      </c>
      <c r="J421" s="48" t="str">
        <f t="shared" si="13"/>
        <v/>
      </c>
    </row>
    <row r="422" spans="1:10" ht="16" x14ac:dyDescent="0.2">
      <c r="A422" s="50"/>
      <c r="B422" s="47"/>
      <c r="C422" s="47"/>
      <c r="D422" s="47"/>
      <c r="E422" s="56"/>
      <c r="F422" s="47"/>
      <c r="G422" s="47"/>
      <c r="H422" s="47"/>
      <c r="I422" s="48" t="str">
        <f t="shared" si="12"/>
        <v/>
      </c>
      <c r="J422" s="48" t="str">
        <f t="shared" si="13"/>
        <v/>
      </c>
    </row>
    <row r="423" spans="1:10" ht="16" x14ac:dyDescent="0.2">
      <c r="A423" s="50"/>
      <c r="B423" s="47"/>
      <c r="C423" s="47"/>
      <c r="D423" s="47"/>
      <c r="E423" s="56"/>
      <c r="F423" s="47"/>
      <c r="G423" s="47"/>
      <c r="H423" s="47"/>
      <c r="I423" s="48" t="str">
        <f t="shared" si="12"/>
        <v/>
      </c>
      <c r="J423" s="48" t="str">
        <f t="shared" si="13"/>
        <v/>
      </c>
    </row>
    <row r="424" spans="1:10" ht="16" x14ac:dyDescent="0.2">
      <c r="A424" s="50"/>
      <c r="B424" s="47"/>
      <c r="C424" s="47"/>
      <c r="D424" s="47"/>
      <c r="E424" s="56"/>
      <c r="F424" s="47"/>
      <c r="G424" s="47"/>
      <c r="H424" s="47"/>
      <c r="I424" s="48" t="str">
        <f t="shared" si="12"/>
        <v/>
      </c>
      <c r="J424" s="48" t="str">
        <f t="shared" si="13"/>
        <v/>
      </c>
    </row>
    <row r="425" spans="1:10" ht="16" x14ac:dyDescent="0.2">
      <c r="A425" s="50"/>
      <c r="B425" s="47"/>
      <c r="C425" s="47"/>
      <c r="D425" s="47"/>
      <c r="E425" s="56"/>
      <c r="F425" s="47"/>
      <c r="G425" s="47"/>
      <c r="H425" s="47"/>
      <c r="I425" s="48" t="str">
        <f t="shared" si="12"/>
        <v/>
      </c>
      <c r="J425" s="48" t="str">
        <f t="shared" si="13"/>
        <v/>
      </c>
    </row>
    <row r="426" spans="1:10" ht="16" x14ac:dyDescent="0.2">
      <c r="A426" s="50"/>
      <c r="B426" s="47"/>
      <c r="C426" s="47"/>
      <c r="D426" s="47"/>
      <c r="E426" s="56"/>
      <c r="F426" s="47"/>
      <c r="G426" s="47"/>
      <c r="H426" s="47"/>
      <c r="I426" s="48" t="str">
        <f t="shared" si="12"/>
        <v/>
      </c>
      <c r="J426" s="48" t="str">
        <f t="shared" si="13"/>
        <v/>
      </c>
    </row>
    <row r="427" spans="1:10" ht="16" x14ac:dyDescent="0.2">
      <c r="A427" s="50"/>
      <c r="B427" s="47"/>
      <c r="C427" s="47"/>
      <c r="D427" s="47"/>
      <c r="E427" s="56"/>
      <c r="F427" s="47"/>
      <c r="G427" s="47"/>
      <c r="H427" s="47"/>
      <c r="I427" s="48" t="str">
        <f t="shared" si="12"/>
        <v/>
      </c>
      <c r="J427" s="48" t="str">
        <f t="shared" si="13"/>
        <v/>
      </c>
    </row>
    <row r="428" spans="1:10" ht="16" x14ac:dyDescent="0.2">
      <c r="A428" s="50"/>
      <c r="B428" s="47"/>
      <c r="C428" s="47"/>
      <c r="D428" s="47"/>
      <c r="E428" s="56"/>
      <c r="F428" s="47"/>
      <c r="G428" s="47"/>
      <c r="H428" s="47"/>
      <c r="I428" s="48" t="str">
        <f t="shared" si="12"/>
        <v/>
      </c>
      <c r="J428" s="48" t="str">
        <f t="shared" si="13"/>
        <v/>
      </c>
    </row>
    <row r="429" spans="1:10" ht="16" x14ac:dyDescent="0.2">
      <c r="A429" s="50"/>
      <c r="B429" s="47"/>
      <c r="C429" s="47"/>
      <c r="D429" s="47"/>
      <c r="E429" s="56"/>
      <c r="F429" s="47"/>
      <c r="G429" s="47"/>
      <c r="H429" s="47"/>
      <c r="I429" s="48" t="str">
        <f t="shared" si="12"/>
        <v/>
      </c>
      <c r="J429" s="48" t="str">
        <f t="shared" si="13"/>
        <v/>
      </c>
    </row>
    <row r="430" spans="1:10" ht="16" x14ac:dyDescent="0.2">
      <c r="A430" s="50"/>
      <c r="B430" s="47"/>
      <c r="C430" s="47"/>
      <c r="D430" s="47"/>
      <c r="E430" s="56"/>
      <c r="F430" s="47"/>
      <c r="G430" s="47"/>
      <c r="H430" s="47"/>
      <c r="I430" s="48" t="str">
        <f t="shared" si="12"/>
        <v/>
      </c>
      <c r="J430" s="48" t="str">
        <f t="shared" si="13"/>
        <v/>
      </c>
    </row>
    <row r="431" spans="1:10" ht="16" x14ac:dyDescent="0.2">
      <c r="A431" s="50"/>
      <c r="B431" s="47"/>
      <c r="C431" s="47"/>
      <c r="D431" s="47"/>
      <c r="E431" s="56"/>
      <c r="F431" s="47"/>
      <c r="G431" s="47"/>
      <c r="H431" s="47"/>
      <c r="I431" s="48" t="str">
        <f t="shared" si="12"/>
        <v/>
      </c>
      <c r="J431" s="48" t="str">
        <f t="shared" si="13"/>
        <v/>
      </c>
    </row>
    <row r="432" spans="1:10" ht="16" x14ac:dyDescent="0.2">
      <c r="A432" s="50"/>
      <c r="B432" s="47"/>
      <c r="C432" s="47"/>
      <c r="D432" s="47"/>
      <c r="E432" s="56"/>
      <c r="F432" s="47"/>
      <c r="G432" s="47"/>
      <c r="H432" s="47"/>
      <c r="I432" s="48" t="str">
        <f t="shared" si="12"/>
        <v/>
      </c>
      <c r="J432" s="48" t="str">
        <f t="shared" si="13"/>
        <v/>
      </c>
    </row>
    <row r="433" spans="1:10" ht="16" x14ac:dyDescent="0.2">
      <c r="A433" s="50"/>
      <c r="B433" s="47"/>
      <c r="C433" s="47"/>
      <c r="D433" s="47"/>
      <c r="E433" s="56"/>
      <c r="F433" s="47"/>
      <c r="G433" s="47"/>
      <c r="H433" s="47"/>
      <c r="I433" s="48" t="str">
        <f t="shared" si="12"/>
        <v/>
      </c>
      <c r="J433" s="48" t="str">
        <f t="shared" si="13"/>
        <v/>
      </c>
    </row>
    <row r="434" spans="1:10" ht="16" x14ac:dyDescent="0.2">
      <c r="A434" s="50"/>
      <c r="B434" s="47"/>
      <c r="C434" s="47"/>
      <c r="D434" s="47"/>
      <c r="E434" s="56"/>
      <c r="F434" s="47"/>
      <c r="G434" s="47"/>
      <c r="H434" s="47"/>
      <c r="I434" s="48" t="str">
        <f t="shared" si="12"/>
        <v/>
      </c>
      <c r="J434" s="48" t="str">
        <f t="shared" si="13"/>
        <v/>
      </c>
    </row>
    <row r="435" spans="1:10" ht="16" x14ac:dyDescent="0.2">
      <c r="A435" s="50"/>
      <c r="B435" s="47"/>
      <c r="C435" s="47"/>
      <c r="D435" s="47"/>
      <c r="E435" s="56"/>
      <c r="F435" s="47"/>
      <c r="G435" s="47"/>
      <c r="H435" s="47"/>
      <c r="I435" s="48" t="str">
        <f t="shared" si="12"/>
        <v/>
      </c>
      <c r="J435" s="48" t="str">
        <f t="shared" si="13"/>
        <v/>
      </c>
    </row>
    <row r="436" spans="1:10" ht="16" x14ac:dyDescent="0.2">
      <c r="A436" s="50"/>
      <c r="B436" s="47"/>
      <c r="C436" s="47"/>
      <c r="D436" s="47"/>
      <c r="E436" s="56"/>
      <c r="F436" s="47"/>
      <c r="G436" s="47"/>
      <c r="H436" s="47"/>
      <c r="I436" s="48" t="str">
        <f t="shared" si="12"/>
        <v/>
      </c>
      <c r="J436" s="48" t="str">
        <f t="shared" si="13"/>
        <v/>
      </c>
    </row>
    <row r="437" spans="1:10" ht="16" x14ac:dyDescent="0.2">
      <c r="A437" s="50"/>
      <c r="B437" s="47"/>
      <c r="C437" s="47"/>
      <c r="D437" s="47"/>
      <c r="E437" s="56"/>
      <c r="F437" s="47"/>
      <c r="G437" s="47"/>
      <c r="H437" s="47"/>
      <c r="I437" s="48" t="str">
        <f t="shared" si="12"/>
        <v/>
      </c>
      <c r="J437" s="48" t="str">
        <f t="shared" si="13"/>
        <v/>
      </c>
    </row>
    <row r="438" spans="1:10" ht="16" x14ac:dyDescent="0.2">
      <c r="A438" s="50"/>
      <c r="B438" s="47"/>
      <c r="C438" s="47"/>
      <c r="D438" s="47"/>
      <c r="E438" s="56"/>
      <c r="F438" s="47"/>
      <c r="G438" s="47"/>
      <c r="H438" s="47"/>
      <c r="I438" s="48" t="str">
        <f t="shared" si="12"/>
        <v/>
      </c>
      <c r="J438" s="48" t="str">
        <f t="shared" si="13"/>
        <v/>
      </c>
    </row>
    <row r="439" spans="1:10" ht="16" x14ac:dyDescent="0.2">
      <c r="A439" s="50"/>
      <c r="B439" s="47"/>
      <c r="C439" s="47"/>
      <c r="D439" s="47"/>
      <c r="E439" s="56"/>
      <c r="F439" s="47"/>
      <c r="G439" s="47"/>
      <c r="H439" s="47"/>
      <c r="I439" s="48" t="str">
        <f t="shared" si="12"/>
        <v/>
      </c>
      <c r="J439" s="48" t="str">
        <f t="shared" si="13"/>
        <v/>
      </c>
    </row>
    <row r="440" spans="1:10" ht="16" x14ac:dyDescent="0.2">
      <c r="A440" s="50"/>
      <c r="B440" s="47"/>
      <c r="C440" s="47"/>
      <c r="D440" s="47"/>
      <c r="E440" s="56"/>
      <c r="F440" s="47"/>
      <c r="G440" s="47"/>
      <c r="H440" s="47"/>
      <c r="I440" s="48" t="str">
        <f t="shared" si="12"/>
        <v/>
      </c>
      <c r="J440" s="48" t="str">
        <f t="shared" si="13"/>
        <v/>
      </c>
    </row>
    <row r="441" spans="1:10" ht="16" x14ac:dyDescent="0.2">
      <c r="A441" s="50"/>
      <c r="B441" s="47"/>
      <c r="C441" s="47"/>
      <c r="D441" s="47"/>
      <c r="E441" s="56"/>
      <c r="F441" s="47"/>
      <c r="G441" s="47"/>
      <c r="H441" s="47"/>
      <c r="I441" s="48" t="str">
        <f t="shared" si="12"/>
        <v/>
      </c>
      <c r="J441" s="48" t="str">
        <f t="shared" si="13"/>
        <v/>
      </c>
    </row>
    <row r="442" spans="1:10" ht="16" x14ac:dyDescent="0.2">
      <c r="A442" s="50"/>
      <c r="B442" s="47"/>
      <c r="C442" s="47"/>
      <c r="D442" s="47"/>
      <c r="E442" s="56"/>
      <c r="F442" s="47"/>
      <c r="G442" s="47"/>
      <c r="H442" s="47"/>
      <c r="I442" s="48" t="str">
        <f t="shared" si="12"/>
        <v/>
      </c>
      <c r="J442" s="48" t="str">
        <f t="shared" si="13"/>
        <v/>
      </c>
    </row>
    <row r="443" spans="1:10" ht="16" x14ac:dyDescent="0.2">
      <c r="A443" s="50"/>
      <c r="B443" s="47"/>
      <c r="C443" s="47"/>
      <c r="D443" s="47"/>
      <c r="E443" s="56"/>
      <c r="F443" s="47"/>
      <c r="G443" s="47"/>
      <c r="H443" s="47"/>
      <c r="I443" s="48" t="str">
        <f t="shared" si="12"/>
        <v/>
      </c>
      <c r="J443" s="48" t="str">
        <f t="shared" si="13"/>
        <v/>
      </c>
    </row>
    <row r="444" spans="1:10" ht="16" x14ac:dyDescent="0.2">
      <c r="A444" s="50"/>
      <c r="B444" s="47"/>
      <c r="C444" s="47"/>
      <c r="D444" s="47"/>
      <c r="E444" s="56"/>
      <c r="F444" s="47"/>
      <c r="G444" s="47"/>
      <c r="H444" s="47"/>
      <c r="I444" s="48" t="str">
        <f t="shared" si="12"/>
        <v/>
      </c>
      <c r="J444" s="48" t="str">
        <f t="shared" si="13"/>
        <v/>
      </c>
    </row>
    <row r="445" spans="1:10" ht="16" x14ac:dyDescent="0.2">
      <c r="A445" s="50"/>
      <c r="B445" s="47"/>
      <c r="C445" s="47"/>
      <c r="D445" s="47"/>
      <c r="E445" s="56"/>
      <c r="F445" s="47"/>
      <c r="G445" s="47"/>
      <c r="H445" s="47"/>
      <c r="I445" s="48" t="str">
        <f t="shared" si="12"/>
        <v/>
      </c>
      <c r="J445" s="48" t="str">
        <f t="shared" si="13"/>
        <v/>
      </c>
    </row>
    <row r="446" spans="1:10" ht="16" x14ac:dyDescent="0.2">
      <c r="A446" s="50"/>
      <c r="B446" s="47"/>
      <c r="C446" s="47"/>
      <c r="D446" s="47"/>
      <c r="E446" s="56"/>
      <c r="F446" s="47"/>
      <c r="G446" s="47"/>
      <c r="H446" s="47"/>
      <c r="I446" s="48" t="str">
        <f t="shared" si="12"/>
        <v/>
      </c>
      <c r="J446" s="48" t="str">
        <f t="shared" si="13"/>
        <v/>
      </c>
    </row>
    <row r="447" spans="1:10" ht="16" x14ac:dyDescent="0.2">
      <c r="A447" s="50"/>
      <c r="B447" s="47"/>
      <c r="C447" s="47"/>
      <c r="D447" s="47"/>
      <c r="E447" s="56"/>
      <c r="F447" s="47"/>
      <c r="G447" s="47"/>
      <c r="H447" s="47"/>
      <c r="I447" s="48" t="str">
        <f t="shared" si="12"/>
        <v/>
      </c>
      <c r="J447" s="48" t="str">
        <f t="shared" si="13"/>
        <v/>
      </c>
    </row>
    <row r="448" spans="1:10" ht="16" x14ac:dyDescent="0.2">
      <c r="A448" s="50"/>
      <c r="B448" s="47"/>
      <c r="C448" s="47"/>
      <c r="D448" s="47"/>
      <c r="E448" s="56"/>
      <c r="F448" s="47"/>
      <c r="G448" s="47"/>
      <c r="H448" s="47"/>
      <c r="I448" s="48" t="str">
        <f t="shared" si="12"/>
        <v/>
      </c>
      <c r="J448" s="48" t="str">
        <f t="shared" si="13"/>
        <v/>
      </c>
    </row>
    <row r="449" spans="1:10" ht="16" x14ac:dyDescent="0.2">
      <c r="A449" s="50"/>
      <c r="B449" s="47"/>
      <c r="C449" s="47"/>
      <c r="D449" s="47"/>
      <c r="E449" s="56"/>
      <c r="F449" s="47"/>
      <c r="G449" s="47"/>
      <c r="H449" s="47"/>
      <c r="I449" s="48" t="str">
        <f t="shared" si="12"/>
        <v/>
      </c>
      <c r="J449" s="48" t="str">
        <f t="shared" si="13"/>
        <v/>
      </c>
    </row>
    <row r="450" spans="1:10" ht="16" x14ac:dyDescent="0.2">
      <c r="A450" s="50"/>
      <c r="B450" s="47"/>
      <c r="C450" s="47"/>
      <c r="D450" s="47"/>
      <c r="E450" s="56"/>
      <c r="F450" s="47"/>
      <c r="G450" s="47"/>
      <c r="H450" s="47"/>
      <c r="I450" s="48" t="str">
        <f t="shared" si="12"/>
        <v/>
      </c>
      <c r="J450" s="48" t="str">
        <f t="shared" si="13"/>
        <v/>
      </c>
    </row>
    <row r="451" spans="1:10" ht="16" x14ac:dyDescent="0.2">
      <c r="A451" s="50"/>
      <c r="B451" s="47"/>
      <c r="C451" s="47"/>
      <c r="D451" s="47"/>
      <c r="E451" s="56"/>
      <c r="F451" s="47"/>
      <c r="G451" s="47"/>
      <c r="H451" s="47"/>
      <c r="I451" s="48" t="str">
        <f t="shared" si="12"/>
        <v/>
      </c>
      <c r="J451" s="48" t="str">
        <f t="shared" si="13"/>
        <v/>
      </c>
    </row>
    <row r="452" spans="1:10" ht="16" x14ac:dyDescent="0.2">
      <c r="A452" s="50"/>
      <c r="B452" s="47"/>
      <c r="C452" s="47"/>
      <c r="D452" s="47"/>
      <c r="E452" s="56"/>
      <c r="F452" s="47"/>
      <c r="G452" s="47"/>
      <c r="H452" s="47"/>
      <c r="I452" s="48" t="str">
        <f t="shared" si="12"/>
        <v/>
      </c>
      <c r="J452" s="48" t="str">
        <f t="shared" si="13"/>
        <v/>
      </c>
    </row>
    <row r="453" spans="1:10" ht="16" x14ac:dyDescent="0.2">
      <c r="A453" s="50"/>
      <c r="B453" s="47"/>
      <c r="C453" s="47"/>
      <c r="D453" s="47"/>
      <c r="E453" s="56"/>
      <c r="F453" s="47"/>
      <c r="G453" s="47"/>
      <c r="H453" s="47"/>
      <c r="I453" s="48" t="str">
        <f t="shared" si="12"/>
        <v/>
      </c>
      <c r="J453" s="48" t="str">
        <f t="shared" si="13"/>
        <v/>
      </c>
    </row>
    <row r="454" spans="1:10" ht="16" x14ac:dyDescent="0.2">
      <c r="A454" s="50"/>
      <c r="B454" s="47"/>
      <c r="C454" s="47"/>
      <c r="D454" s="47"/>
      <c r="E454" s="56"/>
      <c r="F454" s="47"/>
      <c r="G454" s="47"/>
      <c r="H454" s="47"/>
      <c r="I454" s="48" t="str">
        <f t="shared" si="12"/>
        <v/>
      </c>
      <c r="J454" s="48" t="str">
        <f t="shared" si="13"/>
        <v/>
      </c>
    </row>
    <row r="455" spans="1:10" ht="16" x14ac:dyDescent="0.2">
      <c r="A455" s="50"/>
      <c r="B455" s="47"/>
      <c r="C455" s="47"/>
      <c r="D455" s="47"/>
      <c r="E455" s="56"/>
      <c r="F455" s="47"/>
      <c r="G455" s="47"/>
      <c r="H455" s="47"/>
      <c r="I455" s="48" t="str">
        <f t="shared" ref="I455:I506" si="14">IF(OR(A455="",E455=""),"",YEAR(A455))</f>
        <v/>
      </c>
      <c r="J455" s="48" t="str">
        <f t="shared" ref="J455:J506" si="15">IF(OR(A455="",E455=""),"",YEAR(A455)*100+MONTH(A455))</f>
        <v/>
      </c>
    </row>
    <row r="456" spans="1:10" ht="16" x14ac:dyDescent="0.2">
      <c r="A456" s="50"/>
      <c r="B456" s="47"/>
      <c r="C456" s="47"/>
      <c r="D456" s="47"/>
      <c r="E456" s="56"/>
      <c r="F456" s="47"/>
      <c r="G456" s="47"/>
      <c r="H456" s="47"/>
      <c r="I456" s="48" t="str">
        <f t="shared" si="14"/>
        <v/>
      </c>
      <c r="J456" s="48" t="str">
        <f t="shared" si="15"/>
        <v/>
      </c>
    </row>
    <row r="457" spans="1:10" ht="16" x14ac:dyDescent="0.2">
      <c r="A457" s="50"/>
      <c r="B457" s="47"/>
      <c r="C457" s="47"/>
      <c r="D457" s="47"/>
      <c r="E457" s="56"/>
      <c r="F457" s="47"/>
      <c r="G457" s="47"/>
      <c r="H457" s="47"/>
      <c r="I457" s="48" t="str">
        <f t="shared" si="14"/>
        <v/>
      </c>
      <c r="J457" s="48" t="str">
        <f t="shared" si="15"/>
        <v/>
      </c>
    </row>
    <row r="458" spans="1:10" ht="16" x14ac:dyDescent="0.2">
      <c r="A458" s="50"/>
      <c r="B458" s="47"/>
      <c r="C458" s="47"/>
      <c r="D458" s="47"/>
      <c r="E458" s="56"/>
      <c r="F458" s="47"/>
      <c r="G458" s="47"/>
      <c r="H458" s="47"/>
      <c r="I458" s="48" t="str">
        <f t="shared" si="14"/>
        <v/>
      </c>
      <c r="J458" s="48" t="str">
        <f t="shared" si="15"/>
        <v/>
      </c>
    </row>
    <row r="459" spans="1:10" ht="16" x14ac:dyDescent="0.2">
      <c r="A459" s="50"/>
      <c r="B459" s="47"/>
      <c r="C459" s="47"/>
      <c r="D459" s="47"/>
      <c r="E459" s="56"/>
      <c r="F459" s="47"/>
      <c r="G459" s="47"/>
      <c r="H459" s="47"/>
      <c r="I459" s="48" t="str">
        <f t="shared" si="14"/>
        <v/>
      </c>
      <c r="J459" s="48" t="str">
        <f t="shared" si="15"/>
        <v/>
      </c>
    </row>
    <row r="460" spans="1:10" ht="16" x14ac:dyDescent="0.2">
      <c r="A460" s="50"/>
      <c r="B460" s="47"/>
      <c r="C460" s="47"/>
      <c r="D460" s="47"/>
      <c r="E460" s="56"/>
      <c r="F460" s="47"/>
      <c r="G460" s="47"/>
      <c r="H460" s="47"/>
      <c r="I460" s="48" t="str">
        <f t="shared" si="14"/>
        <v/>
      </c>
      <c r="J460" s="48" t="str">
        <f t="shared" si="15"/>
        <v/>
      </c>
    </row>
    <row r="461" spans="1:10" ht="16" x14ac:dyDescent="0.2">
      <c r="A461" s="50"/>
      <c r="B461" s="47"/>
      <c r="C461" s="47"/>
      <c r="D461" s="47"/>
      <c r="E461" s="56"/>
      <c r="F461" s="47"/>
      <c r="G461" s="47"/>
      <c r="H461" s="47"/>
      <c r="I461" s="48" t="str">
        <f t="shared" si="14"/>
        <v/>
      </c>
      <c r="J461" s="48" t="str">
        <f t="shared" si="15"/>
        <v/>
      </c>
    </row>
    <row r="462" spans="1:10" ht="16" x14ac:dyDescent="0.2">
      <c r="A462" s="50"/>
      <c r="B462" s="47"/>
      <c r="C462" s="47"/>
      <c r="D462" s="47"/>
      <c r="E462" s="56"/>
      <c r="F462" s="47"/>
      <c r="G462" s="47"/>
      <c r="H462" s="47"/>
      <c r="I462" s="48" t="str">
        <f t="shared" si="14"/>
        <v/>
      </c>
      <c r="J462" s="48" t="str">
        <f t="shared" si="15"/>
        <v/>
      </c>
    </row>
    <row r="463" spans="1:10" ht="16" x14ac:dyDescent="0.2">
      <c r="A463" s="50"/>
      <c r="B463" s="47"/>
      <c r="C463" s="47"/>
      <c r="D463" s="47"/>
      <c r="E463" s="56"/>
      <c r="F463" s="47"/>
      <c r="G463" s="47"/>
      <c r="H463" s="47"/>
      <c r="I463" s="48" t="str">
        <f t="shared" si="14"/>
        <v/>
      </c>
      <c r="J463" s="48" t="str">
        <f t="shared" si="15"/>
        <v/>
      </c>
    </row>
    <row r="464" spans="1:10" ht="16" x14ac:dyDescent="0.2">
      <c r="A464" s="50"/>
      <c r="B464" s="47"/>
      <c r="C464" s="47"/>
      <c r="D464" s="47"/>
      <c r="E464" s="56"/>
      <c r="F464" s="47"/>
      <c r="G464" s="47"/>
      <c r="H464" s="47"/>
      <c r="I464" s="48" t="str">
        <f t="shared" si="14"/>
        <v/>
      </c>
      <c r="J464" s="48" t="str">
        <f t="shared" si="15"/>
        <v/>
      </c>
    </row>
    <row r="465" spans="1:10" ht="16" x14ac:dyDescent="0.2">
      <c r="A465" s="50"/>
      <c r="B465" s="47"/>
      <c r="C465" s="47"/>
      <c r="D465" s="47"/>
      <c r="E465" s="56"/>
      <c r="F465" s="47"/>
      <c r="G465" s="47"/>
      <c r="H465" s="47"/>
      <c r="I465" s="48" t="str">
        <f t="shared" si="14"/>
        <v/>
      </c>
      <c r="J465" s="48" t="str">
        <f t="shared" si="15"/>
        <v/>
      </c>
    </row>
    <row r="466" spans="1:10" ht="16" x14ac:dyDescent="0.2">
      <c r="A466" s="50"/>
      <c r="B466" s="47"/>
      <c r="C466" s="47"/>
      <c r="D466" s="47"/>
      <c r="E466" s="56"/>
      <c r="F466" s="47"/>
      <c r="G466" s="47"/>
      <c r="H466" s="47"/>
      <c r="I466" s="48" t="str">
        <f t="shared" si="14"/>
        <v/>
      </c>
      <c r="J466" s="48" t="str">
        <f t="shared" si="15"/>
        <v/>
      </c>
    </row>
    <row r="467" spans="1:10" ht="16" x14ac:dyDescent="0.2">
      <c r="A467" s="50"/>
      <c r="B467" s="47"/>
      <c r="C467" s="47"/>
      <c r="D467" s="47"/>
      <c r="E467" s="56"/>
      <c r="F467" s="47"/>
      <c r="G467" s="47"/>
      <c r="H467" s="47"/>
      <c r="I467" s="48" t="str">
        <f t="shared" si="14"/>
        <v/>
      </c>
      <c r="J467" s="48" t="str">
        <f t="shared" si="15"/>
        <v/>
      </c>
    </row>
    <row r="468" spans="1:10" ht="16" x14ac:dyDescent="0.2">
      <c r="A468" s="50"/>
      <c r="B468" s="47"/>
      <c r="C468" s="47"/>
      <c r="D468" s="47"/>
      <c r="E468" s="56"/>
      <c r="F468" s="47"/>
      <c r="G468" s="47"/>
      <c r="H468" s="47"/>
      <c r="I468" s="48" t="str">
        <f t="shared" si="14"/>
        <v/>
      </c>
      <c r="J468" s="48" t="str">
        <f t="shared" si="15"/>
        <v/>
      </c>
    </row>
    <row r="469" spans="1:10" ht="16" x14ac:dyDescent="0.2">
      <c r="A469" s="50"/>
      <c r="B469" s="47"/>
      <c r="C469" s="47"/>
      <c r="D469" s="47"/>
      <c r="E469" s="56"/>
      <c r="F469" s="47"/>
      <c r="G469" s="47"/>
      <c r="H469" s="47"/>
      <c r="I469" s="48" t="str">
        <f t="shared" si="14"/>
        <v/>
      </c>
      <c r="J469" s="48" t="str">
        <f t="shared" si="15"/>
        <v/>
      </c>
    </row>
    <row r="470" spans="1:10" ht="16" x14ac:dyDescent="0.2">
      <c r="A470" s="50"/>
      <c r="B470" s="47"/>
      <c r="C470" s="47"/>
      <c r="D470" s="47"/>
      <c r="E470" s="56"/>
      <c r="F470" s="47"/>
      <c r="G470" s="47"/>
      <c r="H470" s="47"/>
      <c r="I470" s="48" t="str">
        <f t="shared" si="14"/>
        <v/>
      </c>
      <c r="J470" s="48" t="str">
        <f t="shared" si="15"/>
        <v/>
      </c>
    </row>
    <row r="471" spans="1:10" ht="16" x14ac:dyDescent="0.2">
      <c r="A471" s="50"/>
      <c r="B471" s="47"/>
      <c r="C471" s="47"/>
      <c r="D471" s="47"/>
      <c r="E471" s="56"/>
      <c r="F471" s="47"/>
      <c r="G471" s="47"/>
      <c r="H471" s="47"/>
      <c r="I471" s="48" t="str">
        <f t="shared" si="14"/>
        <v/>
      </c>
      <c r="J471" s="48" t="str">
        <f t="shared" si="15"/>
        <v/>
      </c>
    </row>
    <row r="472" spans="1:10" ht="16" x14ac:dyDescent="0.2">
      <c r="A472" s="50"/>
      <c r="B472" s="47"/>
      <c r="C472" s="47"/>
      <c r="D472" s="47"/>
      <c r="E472" s="56"/>
      <c r="F472" s="47"/>
      <c r="G472" s="47"/>
      <c r="H472" s="47"/>
      <c r="I472" s="48" t="str">
        <f t="shared" si="14"/>
        <v/>
      </c>
      <c r="J472" s="48" t="str">
        <f t="shared" si="15"/>
        <v/>
      </c>
    </row>
    <row r="473" spans="1:10" ht="16" x14ac:dyDescent="0.2">
      <c r="A473" s="50"/>
      <c r="B473" s="47"/>
      <c r="C473" s="47"/>
      <c r="D473" s="47"/>
      <c r="E473" s="56"/>
      <c r="F473" s="47"/>
      <c r="G473" s="47"/>
      <c r="H473" s="47"/>
      <c r="I473" s="48" t="str">
        <f t="shared" si="14"/>
        <v/>
      </c>
      <c r="J473" s="48" t="str">
        <f t="shared" si="15"/>
        <v/>
      </c>
    </row>
    <row r="474" spans="1:10" ht="16" x14ac:dyDescent="0.2">
      <c r="A474" s="50"/>
      <c r="B474" s="47"/>
      <c r="C474" s="47"/>
      <c r="D474" s="47"/>
      <c r="E474" s="56"/>
      <c r="F474" s="47"/>
      <c r="G474" s="47"/>
      <c r="H474" s="47"/>
      <c r="I474" s="48" t="str">
        <f t="shared" si="14"/>
        <v/>
      </c>
      <c r="J474" s="48" t="str">
        <f t="shared" si="15"/>
        <v/>
      </c>
    </row>
    <row r="475" spans="1:10" ht="16" x14ac:dyDescent="0.2">
      <c r="A475" s="50"/>
      <c r="B475" s="47"/>
      <c r="C475" s="47"/>
      <c r="D475" s="47"/>
      <c r="E475" s="56"/>
      <c r="F475" s="47"/>
      <c r="G475" s="47"/>
      <c r="H475" s="47"/>
      <c r="I475" s="48" t="str">
        <f t="shared" si="14"/>
        <v/>
      </c>
      <c r="J475" s="48" t="str">
        <f t="shared" si="15"/>
        <v/>
      </c>
    </row>
    <row r="476" spans="1:10" ht="16" x14ac:dyDescent="0.2">
      <c r="A476" s="50"/>
      <c r="B476" s="47"/>
      <c r="C476" s="47"/>
      <c r="D476" s="47"/>
      <c r="E476" s="56"/>
      <c r="F476" s="47"/>
      <c r="G476" s="47"/>
      <c r="H476" s="47"/>
      <c r="I476" s="48" t="str">
        <f t="shared" si="14"/>
        <v/>
      </c>
      <c r="J476" s="48" t="str">
        <f t="shared" si="15"/>
        <v/>
      </c>
    </row>
    <row r="477" spans="1:10" ht="16" x14ac:dyDescent="0.2">
      <c r="A477" s="50"/>
      <c r="B477" s="47"/>
      <c r="C477" s="47"/>
      <c r="D477" s="47"/>
      <c r="E477" s="56"/>
      <c r="F477" s="47"/>
      <c r="G477" s="47"/>
      <c r="H477" s="47"/>
      <c r="I477" s="48" t="str">
        <f t="shared" si="14"/>
        <v/>
      </c>
      <c r="J477" s="48" t="str">
        <f t="shared" si="15"/>
        <v/>
      </c>
    </row>
    <row r="478" spans="1:10" ht="16" x14ac:dyDescent="0.2">
      <c r="A478" s="50"/>
      <c r="B478" s="47"/>
      <c r="C478" s="47"/>
      <c r="D478" s="47"/>
      <c r="E478" s="56"/>
      <c r="F478" s="47"/>
      <c r="G478" s="47"/>
      <c r="H478" s="47"/>
      <c r="I478" s="48" t="str">
        <f t="shared" si="14"/>
        <v/>
      </c>
      <c r="J478" s="48" t="str">
        <f t="shared" si="15"/>
        <v/>
      </c>
    </row>
    <row r="479" spans="1:10" ht="16" x14ac:dyDescent="0.2">
      <c r="A479" s="50"/>
      <c r="B479" s="47"/>
      <c r="C479" s="47"/>
      <c r="D479" s="47"/>
      <c r="E479" s="56"/>
      <c r="F479" s="47"/>
      <c r="G479" s="47"/>
      <c r="H479" s="47"/>
      <c r="I479" s="48" t="str">
        <f t="shared" si="14"/>
        <v/>
      </c>
      <c r="J479" s="48" t="str">
        <f t="shared" si="15"/>
        <v/>
      </c>
    </row>
    <row r="480" spans="1:10" ht="16" x14ac:dyDescent="0.2">
      <c r="A480" s="50"/>
      <c r="B480" s="47"/>
      <c r="C480" s="47"/>
      <c r="D480" s="47"/>
      <c r="E480" s="56"/>
      <c r="F480" s="47"/>
      <c r="G480" s="47"/>
      <c r="H480" s="47"/>
      <c r="I480" s="48" t="str">
        <f t="shared" si="14"/>
        <v/>
      </c>
      <c r="J480" s="48" t="str">
        <f t="shared" si="15"/>
        <v/>
      </c>
    </row>
    <row r="481" spans="1:10" ht="16" x14ac:dyDescent="0.2">
      <c r="A481" s="50"/>
      <c r="B481" s="47"/>
      <c r="C481" s="47"/>
      <c r="D481" s="47"/>
      <c r="E481" s="56"/>
      <c r="F481" s="47"/>
      <c r="G481" s="47"/>
      <c r="H481" s="47"/>
      <c r="I481" s="48" t="str">
        <f t="shared" si="14"/>
        <v/>
      </c>
      <c r="J481" s="48" t="str">
        <f t="shared" si="15"/>
        <v/>
      </c>
    </row>
    <row r="482" spans="1:10" ht="16" x14ac:dyDescent="0.2">
      <c r="A482" s="50"/>
      <c r="B482" s="47"/>
      <c r="C482" s="47"/>
      <c r="D482" s="47"/>
      <c r="E482" s="56"/>
      <c r="F482" s="47"/>
      <c r="G482" s="47"/>
      <c r="H482" s="47"/>
      <c r="I482" s="48" t="str">
        <f t="shared" si="14"/>
        <v/>
      </c>
      <c r="J482" s="48" t="str">
        <f t="shared" si="15"/>
        <v/>
      </c>
    </row>
    <row r="483" spans="1:10" ht="16" x14ac:dyDescent="0.2">
      <c r="A483" s="50"/>
      <c r="B483" s="47"/>
      <c r="C483" s="47"/>
      <c r="D483" s="47"/>
      <c r="E483" s="56"/>
      <c r="F483" s="47"/>
      <c r="G483" s="47"/>
      <c r="H483" s="47"/>
      <c r="I483" s="48" t="str">
        <f t="shared" si="14"/>
        <v/>
      </c>
      <c r="J483" s="48" t="str">
        <f t="shared" si="15"/>
        <v/>
      </c>
    </row>
    <row r="484" spans="1:10" ht="16" x14ac:dyDescent="0.2">
      <c r="A484" s="50"/>
      <c r="B484" s="47"/>
      <c r="C484" s="47"/>
      <c r="D484" s="47"/>
      <c r="E484" s="56"/>
      <c r="F484" s="47"/>
      <c r="G484" s="47"/>
      <c r="H484" s="47"/>
      <c r="I484" s="48" t="str">
        <f t="shared" si="14"/>
        <v/>
      </c>
      <c r="J484" s="48" t="str">
        <f t="shared" si="15"/>
        <v/>
      </c>
    </row>
    <row r="485" spans="1:10" ht="16" x14ac:dyDescent="0.2">
      <c r="A485" s="50"/>
      <c r="B485" s="47"/>
      <c r="C485" s="47"/>
      <c r="D485" s="47"/>
      <c r="E485" s="56"/>
      <c r="F485" s="47"/>
      <c r="G485" s="47"/>
      <c r="H485" s="47"/>
      <c r="I485" s="48" t="str">
        <f t="shared" si="14"/>
        <v/>
      </c>
      <c r="J485" s="48" t="str">
        <f t="shared" si="15"/>
        <v/>
      </c>
    </row>
    <row r="486" spans="1:10" ht="16" x14ac:dyDescent="0.2">
      <c r="A486" s="50"/>
      <c r="B486" s="47"/>
      <c r="C486" s="47"/>
      <c r="D486" s="47"/>
      <c r="E486" s="56"/>
      <c r="F486" s="47"/>
      <c r="G486" s="47"/>
      <c r="H486" s="47"/>
      <c r="I486" s="48" t="str">
        <f t="shared" si="14"/>
        <v/>
      </c>
      <c r="J486" s="48" t="str">
        <f t="shared" si="15"/>
        <v/>
      </c>
    </row>
    <row r="487" spans="1:10" ht="16" x14ac:dyDescent="0.2">
      <c r="A487" s="50"/>
      <c r="B487" s="47"/>
      <c r="C487" s="47"/>
      <c r="D487" s="47"/>
      <c r="E487" s="56"/>
      <c r="F487" s="47"/>
      <c r="G487" s="47"/>
      <c r="H487" s="47"/>
      <c r="I487" s="48" t="str">
        <f t="shared" si="14"/>
        <v/>
      </c>
      <c r="J487" s="48" t="str">
        <f t="shared" si="15"/>
        <v/>
      </c>
    </row>
    <row r="488" spans="1:10" ht="16" x14ac:dyDescent="0.2">
      <c r="A488" s="50"/>
      <c r="B488" s="47"/>
      <c r="C488" s="47"/>
      <c r="D488" s="47"/>
      <c r="E488" s="56"/>
      <c r="F488" s="47"/>
      <c r="G488" s="47"/>
      <c r="H488" s="47"/>
      <c r="I488" s="48" t="str">
        <f t="shared" si="14"/>
        <v/>
      </c>
      <c r="J488" s="48" t="str">
        <f t="shared" si="15"/>
        <v/>
      </c>
    </row>
    <row r="489" spans="1:10" ht="16" x14ac:dyDescent="0.2">
      <c r="A489" s="50"/>
      <c r="B489" s="47"/>
      <c r="C489" s="47"/>
      <c r="D489" s="47"/>
      <c r="E489" s="56"/>
      <c r="F489" s="47"/>
      <c r="G489" s="47"/>
      <c r="H489" s="47"/>
      <c r="I489" s="48" t="str">
        <f t="shared" si="14"/>
        <v/>
      </c>
      <c r="J489" s="48" t="str">
        <f t="shared" si="15"/>
        <v/>
      </c>
    </row>
    <row r="490" spans="1:10" ht="16" x14ac:dyDescent="0.2">
      <c r="A490" s="50"/>
      <c r="B490" s="47"/>
      <c r="C490" s="47"/>
      <c r="D490" s="47"/>
      <c r="E490" s="56"/>
      <c r="F490" s="47"/>
      <c r="G490" s="47"/>
      <c r="H490" s="47"/>
      <c r="I490" s="48" t="str">
        <f t="shared" si="14"/>
        <v/>
      </c>
      <c r="J490" s="48" t="str">
        <f t="shared" si="15"/>
        <v/>
      </c>
    </row>
    <row r="491" spans="1:10" ht="16" x14ac:dyDescent="0.2">
      <c r="A491" s="50"/>
      <c r="B491" s="47"/>
      <c r="C491" s="47"/>
      <c r="D491" s="47"/>
      <c r="E491" s="56"/>
      <c r="F491" s="47"/>
      <c r="G491" s="47"/>
      <c r="H491" s="47"/>
      <c r="I491" s="48" t="str">
        <f t="shared" si="14"/>
        <v/>
      </c>
      <c r="J491" s="48" t="str">
        <f t="shared" si="15"/>
        <v/>
      </c>
    </row>
    <row r="492" spans="1:10" ht="16" x14ac:dyDescent="0.2">
      <c r="A492" s="50"/>
      <c r="B492" s="47"/>
      <c r="C492" s="47"/>
      <c r="D492" s="47"/>
      <c r="E492" s="56"/>
      <c r="F492" s="47"/>
      <c r="G492" s="47"/>
      <c r="H492" s="47"/>
      <c r="I492" s="48" t="str">
        <f t="shared" si="14"/>
        <v/>
      </c>
      <c r="J492" s="48" t="str">
        <f t="shared" si="15"/>
        <v/>
      </c>
    </row>
    <row r="493" spans="1:10" ht="16" x14ac:dyDescent="0.2">
      <c r="A493" s="50"/>
      <c r="B493" s="47"/>
      <c r="C493" s="47"/>
      <c r="D493" s="47"/>
      <c r="E493" s="56"/>
      <c r="F493" s="47"/>
      <c r="G493" s="47"/>
      <c r="H493" s="47"/>
      <c r="I493" s="48" t="str">
        <f t="shared" si="14"/>
        <v/>
      </c>
      <c r="J493" s="48" t="str">
        <f t="shared" si="15"/>
        <v/>
      </c>
    </row>
    <row r="494" spans="1:10" ht="16" x14ac:dyDescent="0.2">
      <c r="A494" s="50"/>
      <c r="B494" s="47"/>
      <c r="C494" s="47"/>
      <c r="D494" s="47"/>
      <c r="E494" s="56"/>
      <c r="F494" s="47"/>
      <c r="G494" s="47"/>
      <c r="H494" s="47"/>
      <c r="I494" s="48" t="str">
        <f t="shared" si="14"/>
        <v/>
      </c>
      <c r="J494" s="48" t="str">
        <f t="shared" si="15"/>
        <v/>
      </c>
    </row>
    <row r="495" spans="1:10" ht="16" x14ac:dyDescent="0.2">
      <c r="A495" s="50"/>
      <c r="B495" s="47"/>
      <c r="C495" s="47"/>
      <c r="D495" s="47"/>
      <c r="E495" s="56"/>
      <c r="F495" s="47"/>
      <c r="G495" s="47"/>
      <c r="H495" s="47"/>
      <c r="I495" s="48" t="str">
        <f t="shared" si="14"/>
        <v/>
      </c>
      <c r="J495" s="48" t="str">
        <f t="shared" si="15"/>
        <v/>
      </c>
    </row>
    <row r="496" spans="1:10" ht="16" x14ac:dyDescent="0.2">
      <c r="A496" s="50"/>
      <c r="B496" s="47"/>
      <c r="C496" s="47"/>
      <c r="D496" s="47"/>
      <c r="E496" s="56"/>
      <c r="F496" s="47"/>
      <c r="G496" s="47"/>
      <c r="H496" s="47"/>
      <c r="I496" s="48" t="str">
        <f t="shared" si="14"/>
        <v/>
      </c>
      <c r="J496" s="48" t="str">
        <f t="shared" si="15"/>
        <v/>
      </c>
    </row>
    <row r="497" spans="1:10" ht="16" x14ac:dyDescent="0.2">
      <c r="A497" s="50"/>
      <c r="B497" s="47"/>
      <c r="C497" s="47"/>
      <c r="D497" s="47"/>
      <c r="E497" s="56"/>
      <c r="F497" s="47"/>
      <c r="G497" s="47"/>
      <c r="H497" s="47"/>
      <c r="I497" s="48" t="str">
        <f t="shared" si="14"/>
        <v/>
      </c>
      <c r="J497" s="48" t="str">
        <f t="shared" si="15"/>
        <v/>
      </c>
    </row>
    <row r="498" spans="1:10" ht="16" x14ac:dyDescent="0.2">
      <c r="A498" s="50"/>
      <c r="B498" s="47"/>
      <c r="C498" s="47"/>
      <c r="D498" s="47"/>
      <c r="E498" s="56"/>
      <c r="F498" s="47"/>
      <c r="G498" s="47"/>
      <c r="H498" s="47"/>
      <c r="I498" s="48" t="str">
        <f t="shared" si="14"/>
        <v/>
      </c>
      <c r="J498" s="48" t="str">
        <f t="shared" si="15"/>
        <v/>
      </c>
    </row>
    <row r="499" spans="1:10" ht="16" x14ac:dyDescent="0.2">
      <c r="A499" s="50"/>
      <c r="B499" s="47"/>
      <c r="C499" s="47"/>
      <c r="D499" s="47"/>
      <c r="E499" s="56"/>
      <c r="F499" s="47"/>
      <c r="G499" s="47"/>
      <c r="H499" s="47"/>
      <c r="I499" s="48" t="str">
        <f t="shared" si="14"/>
        <v/>
      </c>
      <c r="J499" s="48" t="str">
        <f t="shared" si="15"/>
        <v/>
      </c>
    </row>
    <row r="500" spans="1:10" ht="16" x14ac:dyDescent="0.2">
      <c r="A500" s="50"/>
      <c r="B500" s="47"/>
      <c r="C500" s="47"/>
      <c r="D500" s="47"/>
      <c r="E500" s="56"/>
      <c r="F500" s="47"/>
      <c r="G500" s="47"/>
      <c r="H500" s="47"/>
      <c r="I500" s="48" t="str">
        <f t="shared" si="14"/>
        <v/>
      </c>
      <c r="J500" s="48" t="str">
        <f t="shared" si="15"/>
        <v/>
      </c>
    </row>
    <row r="501" spans="1:10" ht="16" x14ac:dyDescent="0.2">
      <c r="A501" s="50"/>
      <c r="B501" s="47"/>
      <c r="C501" s="47"/>
      <c r="D501" s="47"/>
      <c r="E501" s="56"/>
      <c r="F501" s="47"/>
      <c r="G501" s="47"/>
      <c r="H501" s="47"/>
      <c r="I501" s="48" t="str">
        <f t="shared" si="14"/>
        <v/>
      </c>
      <c r="J501" s="48" t="str">
        <f t="shared" si="15"/>
        <v/>
      </c>
    </row>
    <row r="502" spans="1:10" ht="16" x14ac:dyDescent="0.2">
      <c r="A502" s="50"/>
      <c r="B502" s="47"/>
      <c r="C502" s="47"/>
      <c r="D502" s="47"/>
      <c r="E502" s="56"/>
      <c r="F502" s="47"/>
      <c r="G502" s="47"/>
      <c r="H502" s="47"/>
      <c r="I502" s="48" t="str">
        <f t="shared" si="14"/>
        <v/>
      </c>
      <c r="J502" s="48" t="str">
        <f t="shared" si="15"/>
        <v/>
      </c>
    </row>
    <row r="503" spans="1:10" ht="16" x14ac:dyDescent="0.2">
      <c r="A503" s="50"/>
      <c r="B503" s="47"/>
      <c r="C503" s="47"/>
      <c r="D503" s="47"/>
      <c r="E503" s="56"/>
      <c r="F503" s="47"/>
      <c r="G503" s="47"/>
      <c r="H503" s="47"/>
      <c r="I503" s="48" t="str">
        <f t="shared" si="14"/>
        <v/>
      </c>
      <c r="J503" s="48" t="str">
        <f t="shared" si="15"/>
        <v/>
      </c>
    </row>
    <row r="504" spans="1:10" ht="16" x14ac:dyDescent="0.2">
      <c r="A504" s="50"/>
      <c r="B504" s="47"/>
      <c r="C504" s="47"/>
      <c r="D504" s="47"/>
      <c r="E504" s="56"/>
      <c r="F504" s="47"/>
      <c r="G504" s="47"/>
      <c r="H504" s="47"/>
      <c r="I504" s="48" t="str">
        <f t="shared" si="14"/>
        <v/>
      </c>
      <c r="J504" s="48" t="str">
        <f t="shared" si="15"/>
        <v/>
      </c>
    </row>
    <row r="505" spans="1:10" ht="16" x14ac:dyDescent="0.2">
      <c r="A505" s="50"/>
      <c r="B505" s="47"/>
      <c r="C505" s="47"/>
      <c r="D505" s="47"/>
      <c r="E505" s="56"/>
      <c r="F505" s="47"/>
      <c r="G505" s="47"/>
      <c r="H505" s="47"/>
      <c r="I505" s="48" t="str">
        <f t="shared" si="14"/>
        <v/>
      </c>
      <c r="J505" s="48" t="str">
        <f t="shared" si="15"/>
        <v/>
      </c>
    </row>
    <row r="506" spans="1:10" ht="16" x14ac:dyDescent="0.2">
      <c r="A506" s="50"/>
      <c r="B506" s="47"/>
      <c r="C506" s="47"/>
      <c r="D506" s="47"/>
      <c r="E506" s="56"/>
      <c r="F506" s="47"/>
      <c r="G506" s="47"/>
      <c r="H506" s="47"/>
      <c r="I506" s="48" t="str">
        <f t="shared" si="14"/>
        <v/>
      </c>
      <c r="J506" s="48" t="str">
        <f t="shared" si="15"/>
        <v/>
      </c>
    </row>
  </sheetData>
  <conditionalFormatting sqref="C7:C506">
    <cfRule type="expression" dxfId="0" priority="2">
      <formula>ISNUMBER(SEARCH("not deductible",$C7))</formula>
    </cfRule>
  </conditionalFormatting>
  <dataValidations count="1">
    <dataValidation type="list" allowBlank="1" showErrorMessage="1" errorTitle="Pick from the list" error="Please choose a value from the dropdown." sqref="G7:G506" xr:uid="{00000000-0002-0000-0700-000003000000}">
      <formula1>"Y,N"</formula1>
      <formula2>0</formula2>
    </dataValidation>
  </dataValidations>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3">
        <x14:dataValidation type="list" allowBlank="1" showErrorMessage="1" errorTitle="Pick from the list" error="Please choose a value from the dropdown." xr:uid="{00000000-0002-0000-0700-000000000000}">
          <x14:formula1>
            <xm:f>Lists!$D$3:$D$13</xm:f>
          </x14:formula1>
          <x14:formula2>
            <xm:f>0</xm:f>
          </x14:formula2>
          <xm:sqref>B7:B506</xm:sqref>
        </x14:dataValidation>
        <x14:dataValidation type="list" allowBlank="1" showErrorMessage="1" errorTitle="Pick from the list" error="Please choose a value from the dropdown." xr:uid="{00000000-0002-0000-0700-000001000000}">
          <x14:formula1>
            <xm:f>Lists!$A$3:$A$18</xm:f>
          </x14:formula1>
          <x14:formula2>
            <xm:f>0</xm:f>
          </x14:formula2>
          <xm:sqref>C7:C506</xm:sqref>
        </x14:dataValidation>
        <x14:dataValidation type="list" allowBlank="1" showErrorMessage="1" errorTitle="Pick from the list" error="Please choose a value from the dropdown." xr:uid="{00000000-0002-0000-0700-000002000000}">
          <x14:formula1>
            <xm:f>Lists!$F$3:$F$10</xm:f>
          </x14:formula1>
          <x14:formula2>
            <xm:f>0</xm:f>
          </x14:formula2>
          <xm:sqref>F7:F506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506"/>
  <sheetViews>
    <sheetView showGridLines="0" zoomScaleNormal="100" workbookViewId="0">
      <pane xSplit="1" ySplit="6" topLeftCell="B7" activePane="bottomRight" state="frozen"/>
      <selection pane="topRight" activeCell="B1" sqref="B1"/>
      <selection pane="bottomLeft" activeCell="A7" sqref="A7"/>
      <selection pane="bottomRight"/>
    </sheetView>
  </sheetViews>
  <sheetFormatPr baseColWidth="10" defaultColWidth="8.6640625" defaultRowHeight="15" x14ac:dyDescent="0.2"/>
  <cols>
    <col min="1" max="1" width="12.6640625" customWidth="1"/>
    <col min="2" max="2" width="25" customWidth="1"/>
    <col min="3" max="3" width="29" customWidth="1"/>
    <col min="4" max="4" width="31" customWidth="1"/>
    <col min="5" max="5" width="9.1640625" customWidth="1"/>
    <col min="6" max="6" width="12.6640625" customWidth="1"/>
    <col min="7" max="7" width="8" customWidth="1"/>
  </cols>
  <sheetData>
    <row r="1" spans="1:7" ht="30" customHeight="1" x14ac:dyDescent="0.25">
      <c r="A1" s="21" t="s">
        <v>187</v>
      </c>
    </row>
    <row r="2" spans="1:7" ht="16" x14ac:dyDescent="0.2">
      <c r="A2" s="22" t="s">
        <v>188</v>
      </c>
    </row>
    <row r="3" spans="1:7" x14ac:dyDescent="0.2">
      <c r="A3" s="23" t="s">
        <v>1</v>
      </c>
    </row>
    <row r="4" spans="1:7" x14ac:dyDescent="0.2">
      <c r="A4" s="25" t="s">
        <v>189</v>
      </c>
    </row>
    <row r="5" spans="1:7" x14ac:dyDescent="0.2">
      <c r="A5" s="25" t="s">
        <v>190</v>
      </c>
    </row>
    <row r="6" spans="1:7" ht="48" customHeight="1" x14ac:dyDescent="0.2">
      <c r="A6" s="27" t="s">
        <v>181</v>
      </c>
      <c r="B6" s="27" t="s">
        <v>61</v>
      </c>
      <c r="C6" s="27" t="s">
        <v>191</v>
      </c>
      <c r="D6" s="27" t="s">
        <v>192</v>
      </c>
      <c r="E6" s="27" t="s">
        <v>193</v>
      </c>
      <c r="F6" s="46" t="s">
        <v>194</v>
      </c>
      <c r="G6" s="46" t="s">
        <v>185</v>
      </c>
    </row>
    <row r="7" spans="1:7" ht="16" x14ac:dyDescent="0.2">
      <c r="A7" s="50"/>
      <c r="B7" s="47"/>
      <c r="C7" s="47"/>
      <c r="D7" s="47"/>
      <c r="E7" s="47"/>
      <c r="F7" s="52" t="str">
        <f>IF(E7="","",E7*IF(AND(A7&lt;&gt;"",Settings!$C$10&lt;&gt;"",YEAR(A7)=Settings!$C$5,MONTH(A7)&gt;=Settings!$C$10),Settings!$C$9,Settings!$C$6))</f>
        <v/>
      </c>
      <c r="G7" s="48" t="str">
        <f t="shared" ref="G7:G70" si="0">IF(OR(A7="",E7=""),"",YEAR(A7))</f>
        <v/>
      </c>
    </row>
    <row r="8" spans="1:7" ht="16" x14ac:dyDescent="0.2">
      <c r="A8" s="50"/>
      <c r="B8" s="47"/>
      <c r="C8" s="47"/>
      <c r="D8" s="47"/>
      <c r="E8" s="47"/>
      <c r="F8" s="52" t="str">
        <f>IF(E8="","",E8*IF(AND(A8&lt;&gt;"",Settings!$C$10&lt;&gt;"",YEAR(A8)=Settings!$C$5,MONTH(A8)&gt;=Settings!$C$10),Settings!$C$9,Settings!$C$6))</f>
        <v/>
      </c>
      <c r="G8" s="48" t="str">
        <f t="shared" si="0"/>
        <v/>
      </c>
    </row>
    <row r="9" spans="1:7" ht="16" x14ac:dyDescent="0.2">
      <c r="A9" s="50"/>
      <c r="B9" s="47"/>
      <c r="C9" s="47"/>
      <c r="D9" s="47"/>
      <c r="E9" s="47"/>
      <c r="F9" s="52" t="str">
        <f>IF(E9="","",E9*IF(AND(A9&lt;&gt;"",Settings!$C$10&lt;&gt;"",YEAR(A9)=Settings!$C$5,MONTH(A9)&gt;=Settings!$C$10),Settings!$C$9,Settings!$C$6))</f>
        <v/>
      </c>
      <c r="G9" s="48" t="str">
        <f t="shared" si="0"/>
        <v/>
      </c>
    </row>
    <row r="10" spans="1:7" ht="16" x14ac:dyDescent="0.2">
      <c r="A10" s="50"/>
      <c r="B10" s="47"/>
      <c r="C10" s="47"/>
      <c r="D10" s="47"/>
      <c r="E10" s="47"/>
      <c r="F10" s="52" t="str">
        <f>IF(E10="","",E10*IF(AND(A10&lt;&gt;"",Settings!$C$10&lt;&gt;"",YEAR(A10)=Settings!$C$5,MONTH(A10)&gt;=Settings!$C$10),Settings!$C$9,Settings!$C$6))</f>
        <v/>
      </c>
      <c r="G10" s="48" t="str">
        <f t="shared" si="0"/>
        <v/>
      </c>
    </row>
    <row r="11" spans="1:7" ht="16" x14ac:dyDescent="0.2">
      <c r="A11" s="50"/>
      <c r="B11" s="47"/>
      <c r="C11" s="47"/>
      <c r="D11" s="47"/>
      <c r="E11" s="47"/>
      <c r="F11" s="52" t="str">
        <f>IF(E11="","",E11*IF(AND(A11&lt;&gt;"",Settings!$C$10&lt;&gt;"",YEAR(A11)=Settings!$C$5,MONTH(A11)&gt;=Settings!$C$10),Settings!$C$9,Settings!$C$6))</f>
        <v/>
      </c>
      <c r="G11" s="48" t="str">
        <f t="shared" si="0"/>
        <v/>
      </c>
    </row>
    <row r="12" spans="1:7" ht="16" x14ac:dyDescent="0.2">
      <c r="A12" s="50"/>
      <c r="B12" s="47"/>
      <c r="C12" s="47"/>
      <c r="D12" s="47"/>
      <c r="E12" s="47"/>
      <c r="F12" s="52" t="str">
        <f>IF(E12="","",E12*IF(AND(A12&lt;&gt;"",Settings!$C$10&lt;&gt;"",YEAR(A12)=Settings!$C$5,MONTH(A12)&gt;=Settings!$C$10),Settings!$C$9,Settings!$C$6))</f>
        <v/>
      </c>
      <c r="G12" s="48" t="str">
        <f t="shared" si="0"/>
        <v/>
      </c>
    </row>
    <row r="13" spans="1:7" ht="16" x14ac:dyDescent="0.2">
      <c r="A13" s="50"/>
      <c r="B13" s="47"/>
      <c r="C13" s="47"/>
      <c r="D13" s="47"/>
      <c r="E13" s="47"/>
      <c r="F13" s="52" t="str">
        <f>IF(E13="","",E13*IF(AND(A13&lt;&gt;"",Settings!$C$10&lt;&gt;"",YEAR(A13)=Settings!$C$5,MONTH(A13)&gt;=Settings!$C$10),Settings!$C$9,Settings!$C$6))</f>
        <v/>
      </c>
      <c r="G13" s="48" t="str">
        <f t="shared" si="0"/>
        <v/>
      </c>
    </row>
    <row r="14" spans="1:7" ht="16" x14ac:dyDescent="0.2">
      <c r="A14" s="50"/>
      <c r="B14" s="47"/>
      <c r="C14" s="47"/>
      <c r="D14" s="47"/>
      <c r="E14" s="47"/>
      <c r="F14" s="52" t="str">
        <f>IF(E14="","",E14*IF(AND(A14&lt;&gt;"",Settings!$C$10&lt;&gt;"",YEAR(A14)=Settings!$C$5,MONTH(A14)&gt;=Settings!$C$10),Settings!$C$9,Settings!$C$6))</f>
        <v/>
      </c>
      <c r="G14" s="48" t="str">
        <f t="shared" si="0"/>
        <v/>
      </c>
    </row>
    <row r="15" spans="1:7" ht="16" x14ac:dyDescent="0.2">
      <c r="A15" s="50"/>
      <c r="B15" s="47"/>
      <c r="C15" s="47"/>
      <c r="D15" s="47"/>
      <c r="E15" s="47"/>
      <c r="F15" s="52" t="str">
        <f>IF(E15="","",E15*IF(AND(A15&lt;&gt;"",Settings!$C$10&lt;&gt;"",YEAR(A15)=Settings!$C$5,MONTH(A15)&gt;=Settings!$C$10),Settings!$C$9,Settings!$C$6))</f>
        <v/>
      </c>
      <c r="G15" s="48" t="str">
        <f t="shared" si="0"/>
        <v/>
      </c>
    </row>
    <row r="16" spans="1:7" ht="16" x14ac:dyDescent="0.2">
      <c r="A16" s="50"/>
      <c r="B16" s="47"/>
      <c r="C16" s="47"/>
      <c r="D16" s="47"/>
      <c r="E16" s="47"/>
      <c r="F16" s="52" t="str">
        <f>IF(E16="","",E16*IF(AND(A16&lt;&gt;"",Settings!$C$10&lt;&gt;"",YEAR(A16)=Settings!$C$5,MONTH(A16)&gt;=Settings!$C$10),Settings!$C$9,Settings!$C$6))</f>
        <v/>
      </c>
      <c r="G16" s="48" t="str">
        <f t="shared" si="0"/>
        <v/>
      </c>
    </row>
    <row r="17" spans="1:7" ht="16" x14ac:dyDescent="0.2">
      <c r="A17" s="50"/>
      <c r="B17" s="47"/>
      <c r="C17" s="47"/>
      <c r="D17" s="47"/>
      <c r="E17" s="47"/>
      <c r="F17" s="52" t="str">
        <f>IF(E17="","",E17*IF(AND(A17&lt;&gt;"",Settings!$C$10&lt;&gt;"",YEAR(A17)=Settings!$C$5,MONTH(A17)&gt;=Settings!$C$10),Settings!$C$9,Settings!$C$6))</f>
        <v/>
      </c>
      <c r="G17" s="48" t="str">
        <f t="shared" si="0"/>
        <v/>
      </c>
    </row>
    <row r="18" spans="1:7" ht="16" x14ac:dyDescent="0.2">
      <c r="A18" s="50"/>
      <c r="B18" s="47"/>
      <c r="C18" s="47"/>
      <c r="D18" s="47"/>
      <c r="E18" s="47"/>
      <c r="F18" s="52" t="str">
        <f>IF(E18="","",E18*IF(AND(A18&lt;&gt;"",Settings!$C$10&lt;&gt;"",YEAR(A18)=Settings!$C$5,MONTH(A18)&gt;=Settings!$C$10),Settings!$C$9,Settings!$C$6))</f>
        <v/>
      </c>
      <c r="G18" s="48" t="str">
        <f t="shared" si="0"/>
        <v/>
      </c>
    </row>
    <row r="19" spans="1:7" ht="16" x14ac:dyDescent="0.2">
      <c r="A19" s="50"/>
      <c r="B19" s="47"/>
      <c r="C19" s="47"/>
      <c r="D19" s="47"/>
      <c r="E19" s="47"/>
      <c r="F19" s="52" t="str">
        <f>IF(E19="","",E19*IF(AND(A19&lt;&gt;"",Settings!$C$10&lt;&gt;"",YEAR(A19)=Settings!$C$5,MONTH(A19)&gt;=Settings!$C$10),Settings!$C$9,Settings!$C$6))</f>
        <v/>
      </c>
      <c r="G19" s="48" t="str">
        <f t="shared" si="0"/>
        <v/>
      </c>
    </row>
    <row r="20" spans="1:7" ht="16" x14ac:dyDescent="0.2">
      <c r="A20" s="50"/>
      <c r="B20" s="47"/>
      <c r="C20" s="47"/>
      <c r="D20" s="47"/>
      <c r="E20" s="47"/>
      <c r="F20" s="52" t="str">
        <f>IF(E20="","",E20*IF(AND(A20&lt;&gt;"",Settings!$C$10&lt;&gt;"",YEAR(A20)=Settings!$C$5,MONTH(A20)&gt;=Settings!$C$10),Settings!$C$9,Settings!$C$6))</f>
        <v/>
      </c>
      <c r="G20" s="48" t="str">
        <f t="shared" si="0"/>
        <v/>
      </c>
    </row>
    <row r="21" spans="1:7" ht="16" x14ac:dyDescent="0.2">
      <c r="A21" s="50"/>
      <c r="B21" s="47"/>
      <c r="C21" s="47"/>
      <c r="D21" s="47"/>
      <c r="E21" s="47"/>
      <c r="F21" s="52" t="str">
        <f>IF(E21="","",E21*IF(AND(A21&lt;&gt;"",Settings!$C$10&lt;&gt;"",YEAR(A21)=Settings!$C$5,MONTH(A21)&gt;=Settings!$C$10),Settings!$C$9,Settings!$C$6))</f>
        <v/>
      </c>
      <c r="G21" s="48" t="str">
        <f t="shared" si="0"/>
        <v/>
      </c>
    </row>
    <row r="22" spans="1:7" ht="16" x14ac:dyDescent="0.2">
      <c r="A22" s="50"/>
      <c r="B22" s="47"/>
      <c r="C22" s="47"/>
      <c r="D22" s="47"/>
      <c r="E22" s="47"/>
      <c r="F22" s="52" t="str">
        <f>IF(E22="","",E22*IF(AND(A22&lt;&gt;"",Settings!$C$10&lt;&gt;"",YEAR(A22)=Settings!$C$5,MONTH(A22)&gt;=Settings!$C$10),Settings!$C$9,Settings!$C$6))</f>
        <v/>
      </c>
      <c r="G22" s="48" t="str">
        <f t="shared" si="0"/>
        <v/>
      </c>
    </row>
    <row r="23" spans="1:7" ht="16" x14ac:dyDescent="0.2">
      <c r="A23" s="50"/>
      <c r="B23" s="47"/>
      <c r="C23" s="47"/>
      <c r="D23" s="47"/>
      <c r="E23" s="47"/>
      <c r="F23" s="52" t="str">
        <f>IF(E23="","",E23*IF(AND(A23&lt;&gt;"",Settings!$C$10&lt;&gt;"",YEAR(A23)=Settings!$C$5,MONTH(A23)&gt;=Settings!$C$10),Settings!$C$9,Settings!$C$6))</f>
        <v/>
      </c>
      <c r="G23" s="48" t="str">
        <f t="shared" si="0"/>
        <v/>
      </c>
    </row>
    <row r="24" spans="1:7" ht="16" x14ac:dyDescent="0.2">
      <c r="A24" s="50"/>
      <c r="B24" s="47"/>
      <c r="C24" s="47"/>
      <c r="D24" s="47"/>
      <c r="E24" s="47"/>
      <c r="F24" s="52" t="str">
        <f>IF(E24="","",E24*IF(AND(A24&lt;&gt;"",Settings!$C$10&lt;&gt;"",YEAR(A24)=Settings!$C$5,MONTH(A24)&gt;=Settings!$C$10),Settings!$C$9,Settings!$C$6))</f>
        <v/>
      </c>
      <c r="G24" s="48" t="str">
        <f t="shared" si="0"/>
        <v/>
      </c>
    </row>
    <row r="25" spans="1:7" ht="16" x14ac:dyDescent="0.2">
      <c r="A25" s="50"/>
      <c r="B25" s="47"/>
      <c r="C25" s="47"/>
      <c r="D25" s="47"/>
      <c r="E25" s="47"/>
      <c r="F25" s="52" t="str">
        <f>IF(E25="","",E25*IF(AND(A25&lt;&gt;"",Settings!$C$10&lt;&gt;"",YEAR(A25)=Settings!$C$5,MONTH(A25)&gt;=Settings!$C$10),Settings!$C$9,Settings!$C$6))</f>
        <v/>
      </c>
      <c r="G25" s="48" t="str">
        <f t="shared" si="0"/>
        <v/>
      </c>
    </row>
    <row r="26" spans="1:7" ht="16" x14ac:dyDescent="0.2">
      <c r="A26" s="50"/>
      <c r="B26" s="47"/>
      <c r="C26" s="47"/>
      <c r="D26" s="47"/>
      <c r="E26" s="47"/>
      <c r="F26" s="52" t="str">
        <f>IF(E26="","",E26*IF(AND(A26&lt;&gt;"",Settings!$C$10&lt;&gt;"",YEAR(A26)=Settings!$C$5,MONTH(A26)&gt;=Settings!$C$10),Settings!$C$9,Settings!$C$6))</f>
        <v/>
      </c>
      <c r="G26" s="48" t="str">
        <f t="shared" si="0"/>
        <v/>
      </c>
    </row>
    <row r="27" spans="1:7" ht="16" x14ac:dyDescent="0.2">
      <c r="A27" s="50"/>
      <c r="B27" s="47"/>
      <c r="C27" s="47"/>
      <c r="D27" s="47"/>
      <c r="E27" s="47"/>
      <c r="F27" s="52" t="str">
        <f>IF(E27="","",E27*IF(AND(A27&lt;&gt;"",Settings!$C$10&lt;&gt;"",YEAR(A27)=Settings!$C$5,MONTH(A27)&gt;=Settings!$C$10),Settings!$C$9,Settings!$C$6))</f>
        <v/>
      </c>
      <c r="G27" s="48" t="str">
        <f t="shared" si="0"/>
        <v/>
      </c>
    </row>
    <row r="28" spans="1:7" ht="16" x14ac:dyDescent="0.2">
      <c r="A28" s="50"/>
      <c r="B28" s="47"/>
      <c r="C28" s="47"/>
      <c r="D28" s="47"/>
      <c r="E28" s="47"/>
      <c r="F28" s="52" t="str">
        <f>IF(E28="","",E28*IF(AND(A28&lt;&gt;"",Settings!$C$10&lt;&gt;"",YEAR(A28)=Settings!$C$5,MONTH(A28)&gt;=Settings!$C$10),Settings!$C$9,Settings!$C$6))</f>
        <v/>
      </c>
      <c r="G28" s="48" t="str">
        <f t="shared" si="0"/>
        <v/>
      </c>
    </row>
    <row r="29" spans="1:7" ht="16" x14ac:dyDescent="0.2">
      <c r="A29" s="50"/>
      <c r="B29" s="47"/>
      <c r="C29" s="47"/>
      <c r="D29" s="47"/>
      <c r="E29" s="47"/>
      <c r="F29" s="52" t="str">
        <f>IF(E29="","",E29*IF(AND(A29&lt;&gt;"",Settings!$C$10&lt;&gt;"",YEAR(A29)=Settings!$C$5,MONTH(A29)&gt;=Settings!$C$10),Settings!$C$9,Settings!$C$6))</f>
        <v/>
      </c>
      <c r="G29" s="48" t="str">
        <f t="shared" si="0"/>
        <v/>
      </c>
    </row>
    <row r="30" spans="1:7" ht="16" x14ac:dyDescent="0.2">
      <c r="A30" s="50"/>
      <c r="B30" s="47"/>
      <c r="C30" s="47"/>
      <c r="D30" s="47"/>
      <c r="E30" s="47"/>
      <c r="F30" s="52" t="str">
        <f>IF(E30="","",E30*IF(AND(A30&lt;&gt;"",Settings!$C$10&lt;&gt;"",YEAR(A30)=Settings!$C$5,MONTH(A30)&gt;=Settings!$C$10),Settings!$C$9,Settings!$C$6))</f>
        <v/>
      </c>
      <c r="G30" s="48" t="str">
        <f t="shared" si="0"/>
        <v/>
      </c>
    </row>
    <row r="31" spans="1:7" ht="16" x14ac:dyDescent="0.2">
      <c r="A31" s="50"/>
      <c r="B31" s="47"/>
      <c r="C31" s="47"/>
      <c r="D31" s="47"/>
      <c r="E31" s="47"/>
      <c r="F31" s="52" t="str">
        <f>IF(E31="","",E31*IF(AND(A31&lt;&gt;"",Settings!$C$10&lt;&gt;"",YEAR(A31)=Settings!$C$5,MONTH(A31)&gt;=Settings!$C$10),Settings!$C$9,Settings!$C$6))</f>
        <v/>
      </c>
      <c r="G31" s="48" t="str">
        <f t="shared" si="0"/>
        <v/>
      </c>
    </row>
    <row r="32" spans="1:7" ht="16" x14ac:dyDescent="0.2">
      <c r="A32" s="50"/>
      <c r="B32" s="47"/>
      <c r="C32" s="47"/>
      <c r="D32" s="47"/>
      <c r="E32" s="47"/>
      <c r="F32" s="52" t="str">
        <f>IF(E32="","",E32*IF(AND(A32&lt;&gt;"",Settings!$C$10&lt;&gt;"",YEAR(A32)=Settings!$C$5,MONTH(A32)&gt;=Settings!$C$10),Settings!$C$9,Settings!$C$6))</f>
        <v/>
      </c>
      <c r="G32" s="48" t="str">
        <f t="shared" si="0"/>
        <v/>
      </c>
    </row>
    <row r="33" spans="1:7" ht="16" x14ac:dyDescent="0.2">
      <c r="A33" s="50"/>
      <c r="B33" s="47"/>
      <c r="C33" s="47"/>
      <c r="D33" s="47"/>
      <c r="E33" s="47"/>
      <c r="F33" s="52" t="str">
        <f>IF(E33="","",E33*IF(AND(A33&lt;&gt;"",Settings!$C$10&lt;&gt;"",YEAR(A33)=Settings!$C$5,MONTH(A33)&gt;=Settings!$C$10),Settings!$C$9,Settings!$C$6))</f>
        <v/>
      </c>
      <c r="G33" s="48" t="str">
        <f t="shared" si="0"/>
        <v/>
      </c>
    </row>
    <row r="34" spans="1:7" ht="16" x14ac:dyDescent="0.2">
      <c r="A34" s="50"/>
      <c r="B34" s="47"/>
      <c r="C34" s="47"/>
      <c r="D34" s="47"/>
      <c r="E34" s="47"/>
      <c r="F34" s="52" t="str">
        <f>IF(E34="","",E34*IF(AND(A34&lt;&gt;"",Settings!$C$10&lt;&gt;"",YEAR(A34)=Settings!$C$5,MONTH(A34)&gt;=Settings!$C$10),Settings!$C$9,Settings!$C$6))</f>
        <v/>
      </c>
      <c r="G34" s="48" t="str">
        <f t="shared" si="0"/>
        <v/>
      </c>
    </row>
    <row r="35" spans="1:7" ht="16" x14ac:dyDescent="0.2">
      <c r="A35" s="50"/>
      <c r="B35" s="47"/>
      <c r="C35" s="47"/>
      <c r="D35" s="47"/>
      <c r="E35" s="47"/>
      <c r="F35" s="52" t="str">
        <f>IF(E35="","",E35*IF(AND(A35&lt;&gt;"",Settings!$C$10&lt;&gt;"",YEAR(A35)=Settings!$C$5,MONTH(A35)&gt;=Settings!$C$10),Settings!$C$9,Settings!$C$6))</f>
        <v/>
      </c>
      <c r="G35" s="48" t="str">
        <f t="shared" si="0"/>
        <v/>
      </c>
    </row>
    <row r="36" spans="1:7" ht="16" x14ac:dyDescent="0.2">
      <c r="A36" s="50"/>
      <c r="B36" s="47"/>
      <c r="C36" s="47"/>
      <c r="D36" s="47"/>
      <c r="E36" s="47"/>
      <c r="F36" s="52" t="str">
        <f>IF(E36="","",E36*IF(AND(A36&lt;&gt;"",Settings!$C$10&lt;&gt;"",YEAR(A36)=Settings!$C$5,MONTH(A36)&gt;=Settings!$C$10),Settings!$C$9,Settings!$C$6))</f>
        <v/>
      </c>
      <c r="G36" s="48" t="str">
        <f t="shared" si="0"/>
        <v/>
      </c>
    </row>
    <row r="37" spans="1:7" ht="16" x14ac:dyDescent="0.2">
      <c r="A37" s="50"/>
      <c r="B37" s="47"/>
      <c r="C37" s="47"/>
      <c r="D37" s="47"/>
      <c r="E37" s="47"/>
      <c r="F37" s="52" t="str">
        <f>IF(E37="","",E37*IF(AND(A37&lt;&gt;"",Settings!$C$10&lt;&gt;"",YEAR(A37)=Settings!$C$5,MONTH(A37)&gt;=Settings!$C$10),Settings!$C$9,Settings!$C$6))</f>
        <v/>
      </c>
      <c r="G37" s="48" t="str">
        <f t="shared" si="0"/>
        <v/>
      </c>
    </row>
    <row r="38" spans="1:7" ht="16" x14ac:dyDescent="0.2">
      <c r="A38" s="50"/>
      <c r="B38" s="47"/>
      <c r="C38" s="47"/>
      <c r="D38" s="47"/>
      <c r="E38" s="47"/>
      <c r="F38" s="52" t="str">
        <f>IF(E38="","",E38*IF(AND(A38&lt;&gt;"",Settings!$C$10&lt;&gt;"",YEAR(A38)=Settings!$C$5,MONTH(A38)&gt;=Settings!$C$10),Settings!$C$9,Settings!$C$6))</f>
        <v/>
      </c>
      <c r="G38" s="48" t="str">
        <f t="shared" si="0"/>
        <v/>
      </c>
    </row>
    <row r="39" spans="1:7" ht="16" x14ac:dyDescent="0.2">
      <c r="A39" s="50"/>
      <c r="B39" s="47"/>
      <c r="C39" s="47"/>
      <c r="D39" s="47"/>
      <c r="E39" s="47"/>
      <c r="F39" s="52" t="str">
        <f>IF(E39="","",E39*IF(AND(A39&lt;&gt;"",Settings!$C$10&lt;&gt;"",YEAR(A39)=Settings!$C$5,MONTH(A39)&gt;=Settings!$C$10),Settings!$C$9,Settings!$C$6))</f>
        <v/>
      </c>
      <c r="G39" s="48" t="str">
        <f t="shared" si="0"/>
        <v/>
      </c>
    </row>
    <row r="40" spans="1:7" ht="16" x14ac:dyDescent="0.2">
      <c r="A40" s="50"/>
      <c r="B40" s="47"/>
      <c r="C40" s="47"/>
      <c r="D40" s="47"/>
      <c r="E40" s="47"/>
      <c r="F40" s="52" t="str">
        <f>IF(E40="","",E40*IF(AND(A40&lt;&gt;"",Settings!$C$10&lt;&gt;"",YEAR(A40)=Settings!$C$5,MONTH(A40)&gt;=Settings!$C$10),Settings!$C$9,Settings!$C$6))</f>
        <v/>
      </c>
      <c r="G40" s="48" t="str">
        <f t="shared" si="0"/>
        <v/>
      </c>
    </row>
    <row r="41" spans="1:7" ht="16" x14ac:dyDescent="0.2">
      <c r="A41" s="50"/>
      <c r="B41" s="47"/>
      <c r="C41" s="47"/>
      <c r="D41" s="47"/>
      <c r="E41" s="47"/>
      <c r="F41" s="52" t="str">
        <f>IF(E41="","",E41*IF(AND(A41&lt;&gt;"",Settings!$C$10&lt;&gt;"",YEAR(A41)=Settings!$C$5,MONTH(A41)&gt;=Settings!$C$10),Settings!$C$9,Settings!$C$6))</f>
        <v/>
      </c>
      <c r="G41" s="48" t="str">
        <f t="shared" si="0"/>
        <v/>
      </c>
    </row>
    <row r="42" spans="1:7" ht="16" x14ac:dyDescent="0.2">
      <c r="A42" s="50"/>
      <c r="B42" s="47"/>
      <c r="C42" s="47"/>
      <c r="D42" s="47"/>
      <c r="E42" s="47"/>
      <c r="F42" s="52" t="str">
        <f>IF(E42="","",E42*IF(AND(A42&lt;&gt;"",Settings!$C$10&lt;&gt;"",YEAR(A42)=Settings!$C$5,MONTH(A42)&gt;=Settings!$C$10),Settings!$C$9,Settings!$C$6))</f>
        <v/>
      </c>
      <c r="G42" s="48" t="str">
        <f t="shared" si="0"/>
        <v/>
      </c>
    </row>
    <row r="43" spans="1:7" ht="16" x14ac:dyDescent="0.2">
      <c r="A43" s="50"/>
      <c r="B43" s="47"/>
      <c r="C43" s="47"/>
      <c r="D43" s="47"/>
      <c r="E43" s="47"/>
      <c r="F43" s="52" t="str">
        <f>IF(E43="","",E43*IF(AND(A43&lt;&gt;"",Settings!$C$10&lt;&gt;"",YEAR(A43)=Settings!$C$5,MONTH(A43)&gt;=Settings!$C$10),Settings!$C$9,Settings!$C$6))</f>
        <v/>
      </c>
      <c r="G43" s="48" t="str">
        <f t="shared" si="0"/>
        <v/>
      </c>
    </row>
    <row r="44" spans="1:7" ht="16" x14ac:dyDescent="0.2">
      <c r="A44" s="50"/>
      <c r="B44" s="47"/>
      <c r="C44" s="47"/>
      <c r="D44" s="47"/>
      <c r="E44" s="47"/>
      <c r="F44" s="52" t="str">
        <f>IF(E44="","",E44*IF(AND(A44&lt;&gt;"",Settings!$C$10&lt;&gt;"",YEAR(A44)=Settings!$C$5,MONTH(A44)&gt;=Settings!$C$10),Settings!$C$9,Settings!$C$6))</f>
        <v/>
      </c>
      <c r="G44" s="48" t="str">
        <f t="shared" si="0"/>
        <v/>
      </c>
    </row>
    <row r="45" spans="1:7" ht="16" x14ac:dyDescent="0.2">
      <c r="A45" s="50"/>
      <c r="B45" s="47"/>
      <c r="C45" s="47"/>
      <c r="D45" s="47"/>
      <c r="E45" s="47"/>
      <c r="F45" s="52" t="str">
        <f>IF(E45="","",E45*IF(AND(A45&lt;&gt;"",Settings!$C$10&lt;&gt;"",YEAR(A45)=Settings!$C$5,MONTH(A45)&gt;=Settings!$C$10),Settings!$C$9,Settings!$C$6))</f>
        <v/>
      </c>
      <c r="G45" s="48" t="str">
        <f t="shared" si="0"/>
        <v/>
      </c>
    </row>
    <row r="46" spans="1:7" ht="16" x14ac:dyDescent="0.2">
      <c r="A46" s="50"/>
      <c r="B46" s="47"/>
      <c r="C46" s="47"/>
      <c r="D46" s="47"/>
      <c r="E46" s="47"/>
      <c r="F46" s="52" t="str">
        <f>IF(E46="","",E46*IF(AND(A46&lt;&gt;"",Settings!$C$10&lt;&gt;"",YEAR(A46)=Settings!$C$5,MONTH(A46)&gt;=Settings!$C$10),Settings!$C$9,Settings!$C$6))</f>
        <v/>
      </c>
      <c r="G46" s="48" t="str">
        <f t="shared" si="0"/>
        <v/>
      </c>
    </row>
    <row r="47" spans="1:7" ht="16" x14ac:dyDescent="0.2">
      <c r="A47" s="50"/>
      <c r="B47" s="47"/>
      <c r="C47" s="47"/>
      <c r="D47" s="47"/>
      <c r="E47" s="47"/>
      <c r="F47" s="52" t="str">
        <f>IF(E47="","",E47*IF(AND(A47&lt;&gt;"",Settings!$C$10&lt;&gt;"",YEAR(A47)=Settings!$C$5,MONTH(A47)&gt;=Settings!$C$10),Settings!$C$9,Settings!$C$6))</f>
        <v/>
      </c>
      <c r="G47" s="48" t="str">
        <f t="shared" si="0"/>
        <v/>
      </c>
    </row>
    <row r="48" spans="1:7" ht="16" x14ac:dyDescent="0.2">
      <c r="A48" s="50"/>
      <c r="B48" s="47"/>
      <c r="C48" s="47"/>
      <c r="D48" s="47"/>
      <c r="E48" s="47"/>
      <c r="F48" s="52" t="str">
        <f>IF(E48="","",E48*IF(AND(A48&lt;&gt;"",Settings!$C$10&lt;&gt;"",YEAR(A48)=Settings!$C$5,MONTH(A48)&gt;=Settings!$C$10),Settings!$C$9,Settings!$C$6))</f>
        <v/>
      </c>
      <c r="G48" s="48" t="str">
        <f t="shared" si="0"/>
        <v/>
      </c>
    </row>
    <row r="49" spans="1:7" ht="16" x14ac:dyDescent="0.2">
      <c r="A49" s="50"/>
      <c r="B49" s="47"/>
      <c r="C49" s="47"/>
      <c r="D49" s="47"/>
      <c r="E49" s="47"/>
      <c r="F49" s="52" t="str">
        <f>IF(E49="","",E49*IF(AND(A49&lt;&gt;"",Settings!$C$10&lt;&gt;"",YEAR(A49)=Settings!$C$5,MONTH(A49)&gt;=Settings!$C$10),Settings!$C$9,Settings!$C$6))</f>
        <v/>
      </c>
      <c r="G49" s="48" t="str">
        <f t="shared" si="0"/>
        <v/>
      </c>
    </row>
    <row r="50" spans="1:7" ht="16" x14ac:dyDescent="0.2">
      <c r="A50" s="50"/>
      <c r="B50" s="47"/>
      <c r="C50" s="47"/>
      <c r="D50" s="47"/>
      <c r="E50" s="47"/>
      <c r="F50" s="52" t="str">
        <f>IF(E50="","",E50*IF(AND(A50&lt;&gt;"",Settings!$C$10&lt;&gt;"",YEAR(A50)=Settings!$C$5,MONTH(A50)&gt;=Settings!$C$10),Settings!$C$9,Settings!$C$6))</f>
        <v/>
      </c>
      <c r="G50" s="48" t="str">
        <f t="shared" si="0"/>
        <v/>
      </c>
    </row>
    <row r="51" spans="1:7" ht="16" x14ac:dyDescent="0.2">
      <c r="A51" s="50"/>
      <c r="B51" s="47"/>
      <c r="C51" s="47"/>
      <c r="D51" s="47"/>
      <c r="E51" s="47"/>
      <c r="F51" s="52" t="str">
        <f>IF(E51="","",E51*IF(AND(A51&lt;&gt;"",Settings!$C$10&lt;&gt;"",YEAR(A51)=Settings!$C$5,MONTH(A51)&gt;=Settings!$C$10),Settings!$C$9,Settings!$C$6))</f>
        <v/>
      </c>
      <c r="G51" s="48" t="str">
        <f t="shared" si="0"/>
        <v/>
      </c>
    </row>
    <row r="52" spans="1:7" ht="16" x14ac:dyDescent="0.2">
      <c r="A52" s="50"/>
      <c r="B52" s="47"/>
      <c r="C52" s="47"/>
      <c r="D52" s="47"/>
      <c r="E52" s="47"/>
      <c r="F52" s="52" t="str">
        <f>IF(E52="","",E52*IF(AND(A52&lt;&gt;"",Settings!$C$10&lt;&gt;"",YEAR(A52)=Settings!$C$5,MONTH(A52)&gt;=Settings!$C$10),Settings!$C$9,Settings!$C$6))</f>
        <v/>
      </c>
      <c r="G52" s="48" t="str">
        <f t="shared" si="0"/>
        <v/>
      </c>
    </row>
    <row r="53" spans="1:7" ht="16" x14ac:dyDescent="0.2">
      <c r="A53" s="50"/>
      <c r="B53" s="47"/>
      <c r="C53" s="47"/>
      <c r="D53" s="47"/>
      <c r="E53" s="47"/>
      <c r="F53" s="52" t="str">
        <f>IF(E53="","",E53*IF(AND(A53&lt;&gt;"",Settings!$C$10&lt;&gt;"",YEAR(A53)=Settings!$C$5,MONTH(A53)&gt;=Settings!$C$10),Settings!$C$9,Settings!$C$6))</f>
        <v/>
      </c>
      <c r="G53" s="48" t="str">
        <f t="shared" si="0"/>
        <v/>
      </c>
    </row>
    <row r="54" spans="1:7" ht="16" x14ac:dyDescent="0.2">
      <c r="A54" s="50"/>
      <c r="B54" s="47"/>
      <c r="C54" s="47"/>
      <c r="D54" s="47"/>
      <c r="E54" s="47"/>
      <c r="F54" s="52" t="str">
        <f>IF(E54="","",E54*IF(AND(A54&lt;&gt;"",Settings!$C$10&lt;&gt;"",YEAR(A54)=Settings!$C$5,MONTH(A54)&gt;=Settings!$C$10),Settings!$C$9,Settings!$C$6))</f>
        <v/>
      </c>
      <c r="G54" s="48" t="str">
        <f t="shared" si="0"/>
        <v/>
      </c>
    </row>
    <row r="55" spans="1:7" ht="16" x14ac:dyDescent="0.2">
      <c r="A55" s="50"/>
      <c r="B55" s="47"/>
      <c r="C55" s="47"/>
      <c r="D55" s="47"/>
      <c r="E55" s="47"/>
      <c r="F55" s="52" t="str">
        <f>IF(E55="","",E55*IF(AND(A55&lt;&gt;"",Settings!$C$10&lt;&gt;"",YEAR(A55)=Settings!$C$5,MONTH(A55)&gt;=Settings!$C$10),Settings!$C$9,Settings!$C$6))</f>
        <v/>
      </c>
      <c r="G55" s="48" t="str">
        <f t="shared" si="0"/>
        <v/>
      </c>
    </row>
    <row r="56" spans="1:7" ht="16" x14ac:dyDescent="0.2">
      <c r="A56" s="50"/>
      <c r="B56" s="47"/>
      <c r="C56" s="47"/>
      <c r="D56" s="47"/>
      <c r="E56" s="47"/>
      <c r="F56" s="52" t="str">
        <f>IF(E56="","",E56*IF(AND(A56&lt;&gt;"",Settings!$C$10&lt;&gt;"",YEAR(A56)=Settings!$C$5,MONTH(A56)&gt;=Settings!$C$10),Settings!$C$9,Settings!$C$6))</f>
        <v/>
      </c>
      <c r="G56" s="48" t="str">
        <f t="shared" si="0"/>
        <v/>
      </c>
    </row>
    <row r="57" spans="1:7" ht="16" x14ac:dyDescent="0.2">
      <c r="A57" s="50"/>
      <c r="B57" s="47"/>
      <c r="C57" s="47"/>
      <c r="D57" s="47"/>
      <c r="E57" s="47"/>
      <c r="F57" s="52" t="str">
        <f>IF(E57="","",E57*IF(AND(A57&lt;&gt;"",Settings!$C$10&lt;&gt;"",YEAR(A57)=Settings!$C$5,MONTH(A57)&gt;=Settings!$C$10),Settings!$C$9,Settings!$C$6))</f>
        <v/>
      </c>
      <c r="G57" s="48" t="str">
        <f t="shared" si="0"/>
        <v/>
      </c>
    </row>
    <row r="58" spans="1:7" ht="16" x14ac:dyDescent="0.2">
      <c r="A58" s="50"/>
      <c r="B58" s="47"/>
      <c r="C58" s="47"/>
      <c r="D58" s="47"/>
      <c r="E58" s="47"/>
      <c r="F58" s="52" t="str">
        <f>IF(E58="","",E58*IF(AND(A58&lt;&gt;"",Settings!$C$10&lt;&gt;"",YEAR(A58)=Settings!$C$5,MONTH(A58)&gt;=Settings!$C$10),Settings!$C$9,Settings!$C$6))</f>
        <v/>
      </c>
      <c r="G58" s="48" t="str">
        <f t="shared" si="0"/>
        <v/>
      </c>
    </row>
    <row r="59" spans="1:7" ht="16" x14ac:dyDescent="0.2">
      <c r="A59" s="50"/>
      <c r="B59" s="47"/>
      <c r="C59" s="47"/>
      <c r="D59" s="47"/>
      <c r="E59" s="47"/>
      <c r="F59" s="52" t="str">
        <f>IF(E59="","",E59*IF(AND(A59&lt;&gt;"",Settings!$C$10&lt;&gt;"",YEAR(A59)=Settings!$C$5,MONTH(A59)&gt;=Settings!$C$10),Settings!$C$9,Settings!$C$6))</f>
        <v/>
      </c>
      <c r="G59" s="48" t="str">
        <f t="shared" si="0"/>
        <v/>
      </c>
    </row>
    <row r="60" spans="1:7" ht="16" x14ac:dyDescent="0.2">
      <c r="A60" s="50"/>
      <c r="B60" s="47"/>
      <c r="C60" s="47"/>
      <c r="D60" s="47"/>
      <c r="E60" s="47"/>
      <c r="F60" s="52" t="str">
        <f>IF(E60="","",E60*IF(AND(A60&lt;&gt;"",Settings!$C$10&lt;&gt;"",YEAR(A60)=Settings!$C$5,MONTH(A60)&gt;=Settings!$C$10),Settings!$C$9,Settings!$C$6))</f>
        <v/>
      </c>
      <c r="G60" s="48" t="str">
        <f t="shared" si="0"/>
        <v/>
      </c>
    </row>
    <row r="61" spans="1:7" ht="16" x14ac:dyDescent="0.2">
      <c r="A61" s="50"/>
      <c r="B61" s="47"/>
      <c r="C61" s="47"/>
      <c r="D61" s="47"/>
      <c r="E61" s="47"/>
      <c r="F61" s="52" t="str">
        <f>IF(E61="","",E61*IF(AND(A61&lt;&gt;"",Settings!$C$10&lt;&gt;"",YEAR(A61)=Settings!$C$5,MONTH(A61)&gt;=Settings!$C$10),Settings!$C$9,Settings!$C$6))</f>
        <v/>
      </c>
      <c r="G61" s="48" t="str">
        <f t="shared" si="0"/>
        <v/>
      </c>
    </row>
    <row r="62" spans="1:7" ht="16" x14ac:dyDescent="0.2">
      <c r="A62" s="50"/>
      <c r="B62" s="47"/>
      <c r="C62" s="47"/>
      <c r="D62" s="47"/>
      <c r="E62" s="47"/>
      <c r="F62" s="52" t="str">
        <f>IF(E62="","",E62*IF(AND(A62&lt;&gt;"",Settings!$C$10&lt;&gt;"",YEAR(A62)=Settings!$C$5,MONTH(A62)&gt;=Settings!$C$10),Settings!$C$9,Settings!$C$6))</f>
        <v/>
      </c>
      <c r="G62" s="48" t="str">
        <f t="shared" si="0"/>
        <v/>
      </c>
    </row>
    <row r="63" spans="1:7" ht="16" x14ac:dyDescent="0.2">
      <c r="A63" s="50"/>
      <c r="B63" s="47"/>
      <c r="C63" s="47"/>
      <c r="D63" s="47"/>
      <c r="E63" s="47"/>
      <c r="F63" s="52" t="str">
        <f>IF(E63="","",E63*IF(AND(A63&lt;&gt;"",Settings!$C$10&lt;&gt;"",YEAR(A63)=Settings!$C$5,MONTH(A63)&gt;=Settings!$C$10),Settings!$C$9,Settings!$C$6))</f>
        <v/>
      </c>
      <c r="G63" s="48" t="str">
        <f t="shared" si="0"/>
        <v/>
      </c>
    </row>
    <row r="64" spans="1:7" ht="16" x14ac:dyDescent="0.2">
      <c r="A64" s="50"/>
      <c r="B64" s="47"/>
      <c r="C64" s="47"/>
      <c r="D64" s="47"/>
      <c r="E64" s="47"/>
      <c r="F64" s="52" t="str">
        <f>IF(E64="","",E64*IF(AND(A64&lt;&gt;"",Settings!$C$10&lt;&gt;"",YEAR(A64)=Settings!$C$5,MONTH(A64)&gt;=Settings!$C$10),Settings!$C$9,Settings!$C$6))</f>
        <v/>
      </c>
      <c r="G64" s="48" t="str">
        <f t="shared" si="0"/>
        <v/>
      </c>
    </row>
    <row r="65" spans="1:7" ht="16" x14ac:dyDescent="0.2">
      <c r="A65" s="50"/>
      <c r="B65" s="47"/>
      <c r="C65" s="47"/>
      <c r="D65" s="47"/>
      <c r="E65" s="47"/>
      <c r="F65" s="52" t="str">
        <f>IF(E65="","",E65*IF(AND(A65&lt;&gt;"",Settings!$C$10&lt;&gt;"",YEAR(A65)=Settings!$C$5,MONTH(A65)&gt;=Settings!$C$10),Settings!$C$9,Settings!$C$6))</f>
        <v/>
      </c>
      <c r="G65" s="48" t="str">
        <f t="shared" si="0"/>
        <v/>
      </c>
    </row>
    <row r="66" spans="1:7" ht="16" x14ac:dyDescent="0.2">
      <c r="A66" s="50"/>
      <c r="B66" s="47"/>
      <c r="C66" s="47"/>
      <c r="D66" s="47"/>
      <c r="E66" s="47"/>
      <c r="F66" s="52" t="str">
        <f>IF(E66="","",E66*IF(AND(A66&lt;&gt;"",Settings!$C$10&lt;&gt;"",YEAR(A66)=Settings!$C$5,MONTH(A66)&gt;=Settings!$C$10),Settings!$C$9,Settings!$C$6))</f>
        <v/>
      </c>
      <c r="G66" s="48" t="str">
        <f t="shared" si="0"/>
        <v/>
      </c>
    </row>
    <row r="67" spans="1:7" ht="16" x14ac:dyDescent="0.2">
      <c r="A67" s="50"/>
      <c r="B67" s="47"/>
      <c r="C67" s="47"/>
      <c r="D67" s="47"/>
      <c r="E67" s="47"/>
      <c r="F67" s="52" t="str">
        <f>IF(E67="","",E67*IF(AND(A67&lt;&gt;"",Settings!$C$10&lt;&gt;"",YEAR(A67)=Settings!$C$5,MONTH(A67)&gt;=Settings!$C$10),Settings!$C$9,Settings!$C$6))</f>
        <v/>
      </c>
      <c r="G67" s="48" t="str">
        <f t="shared" si="0"/>
        <v/>
      </c>
    </row>
    <row r="68" spans="1:7" ht="16" x14ac:dyDescent="0.2">
      <c r="A68" s="50"/>
      <c r="B68" s="47"/>
      <c r="C68" s="47"/>
      <c r="D68" s="47"/>
      <c r="E68" s="47"/>
      <c r="F68" s="52" t="str">
        <f>IF(E68="","",E68*IF(AND(A68&lt;&gt;"",Settings!$C$10&lt;&gt;"",YEAR(A68)=Settings!$C$5,MONTH(A68)&gt;=Settings!$C$10),Settings!$C$9,Settings!$C$6))</f>
        <v/>
      </c>
      <c r="G68" s="48" t="str">
        <f t="shared" si="0"/>
        <v/>
      </c>
    </row>
    <row r="69" spans="1:7" ht="16" x14ac:dyDescent="0.2">
      <c r="A69" s="50"/>
      <c r="B69" s="47"/>
      <c r="C69" s="47"/>
      <c r="D69" s="47"/>
      <c r="E69" s="47"/>
      <c r="F69" s="52" t="str">
        <f>IF(E69="","",E69*IF(AND(A69&lt;&gt;"",Settings!$C$10&lt;&gt;"",YEAR(A69)=Settings!$C$5,MONTH(A69)&gt;=Settings!$C$10),Settings!$C$9,Settings!$C$6))</f>
        <v/>
      </c>
      <c r="G69" s="48" t="str">
        <f t="shared" si="0"/>
        <v/>
      </c>
    </row>
    <row r="70" spans="1:7" ht="16" x14ac:dyDescent="0.2">
      <c r="A70" s="50"/>
      <c r="B70" s="47"/>
      <c r="C70" s="47"/>
      <c r="D70" s="47"/>
      <c r="E70" s="47"/>
      <c r="F70" s="52" t="str">
        <f>IF(E70="","",E70*IF(AND(A70&lt;&gt;"",Settings!$C$10&lt;&gt;"",YEAR(A70)=Settings!$C$5,MONTH(A70)&gt;=Settings!$C$10),Settings!$C$9,Settings!$C$6))</f>
        <v/>
      </c>
      <c r="G70" s="48" t="str">
        <f t="shared" si="0"/>
        <v/>
      </c>
    </row>
    <row r="71" spans="1:7" ht="16" x14ac:dyDescent="0.2">
      <c r="A71" s="50"/>
      <c r="B71" s="47"/>
      <c r="C71" s="47"/>
      <c r="D71" s="47"/>
      <c r="E71" s="47"/>
      <c r="F71" s="52" t="str">
        <f>IF(E71="","",E71*IF(AND(A71&lt;&gt;"",Settings!$C$10&lt;&gt;"",YEAR(A71)=Settings!$C$5,MONTH(A71)&gt;=Settings!$C$10),Settings!$C$9,Settings!$C$6))</f>
        <v/>
      </c>
      <c r="G71" s="48" t="str">
        <f t="shared" ref="G71:G134" si="1">IF(OR(A71="",E71=""),"",YEAR(A71))</f>
        <v/>
      </c>
    </row>
    <row r="72" spans="1:7" ht="16" x14ac:dyDescent="0.2">
      <c r="A72" s="50"/>
      <c r="B72" s="47"/>
      <c r="C72" s="47"/>
      <c r="D72" s="47"/>
      <c r="E72" s="47"/>
      <c r="F72" s="52" t="str">
        <f>IF(E72="","",E72*IF(AND(A72&lt;&gt;"",Settings!$C$10&lt;&gt;"",YEAR(A72)=Settings!$C$5,MONTH(A72)&gt;=Settings!$C$10),Settings!$C$9,Settings!$C$6))</f>
        <v/>
      </c>
      <c r="G72" s="48" t="str">
        <f t="shared" si="1"/>
        <v/>
      </c>
    </row>
    <row r="73" spans="1:7" ht="16" x14ac:dyDescent="0.2">
      <c r="A73" s="50"/>
      <c r="B73" s="47"/>
      <c r="C73" s="47"/>
      <c r="D73" s="47"/>
      <c r="E73" s="47"/>
      <c r="F73" s="52" t="str">
        <f>IF(E73="","",E73*IF(AND(A73&lt;&gt;"",Settings!$C$10&lt;&gt;"",YEAR(A73)=Settings!$C$5,MONTH(A73)&gt;=Settings!$C$10),Settings!$C$9,Settings!$C$6))</f>
        <v/>
      </c>
      <c r="G73" s="48" t="str">
        <f t="shared" si="1"/>
        <v/>
      </c>
    </row>
    <row r="74" spans="1:7" ht="16" x14ac:dyDescent="0.2">
      <c r="A74" s="50"/>
      <c r="B74" s="47"/>
      <c r="C74" s="47"/>
      <c r="D74" s="47"/>
      <c r="E74" s="47"/>
      <c r="F74" s="52" t="str">
        <f>IF(E74="","",E74*IF(AND(A74&lt;&gt;"",Settings!$C$10&lt;&gt;"",YEAR(A74)=Settings!$C$5,MONTH(A74)&gt;=Settings!$C$10),Settings!$C$9,Settings!$C$6))</f>
        <v/>
      </c>
      <c r="G74" s="48" t="str">
        <f t="shared" si="1"/>
        <v/>
      </c>
    </row>
    <row r="75" spans="1:7" ht="16" x14ac:dyDescent="0.2">
      <c r="A75" s="50"/>
      <c r="B75" s="47"/>
      <c r="C75" s="47"/>
      <c r="D75" s="47"/>
      <c r="E75" s="47"/>
      <c r="F75" s="52" t="str">
        <f>IF(E75="","",E75*IF(AND(A75&lt;&gt;"",Settings!$C$10&lt;&gt;"",YEAR(A75)=Settings!$C$5,MONTH(A75)&gt;=Settings!$C$10),Settings!$C$9,Settings!$C$6))</f>
        <v/>
      </c>
      <c r="G75" s="48" t="str">
        <f t="shared" si="1"/>
        <v/>
      </c>
    </row>
    <row r="76" spans="1:7" ht="16" x14ac:dyDescent="0.2">
      <c r="A76" s="50"/>
      <c r="B76" s="47"/>
      <c r="C76" s="47"/>
      <c r="D76" s="47"/>
      <c r="E76" s="47"/>
      <c r="F76" s="52" t="str">
        <f>IF(E76="","",E76*IF(AND(A76&lt;&gt;"",Settings!$C$10&lt;&gt;"",YEAR(A76)=Settings!$C$5,MONTH(A76)&gt;=Settings!$C$10),Settings!$C$9,Settings!$C$6))</f>
        <v/>
      </c>
      <c r="G76" s="48" t="str">
        <f t="shared" si="1"/>
        <v/>
      </c>
    </row>
    <row r="77" spans="1:7" ht="16" x14ac:dyDescent="0.2">
      <c r="A77" s="50"/>
      <c r="B77" s="47"/>
      <c r="C77" s="47"/>
      <c r="D77" s="47"/>
      <c r="E77" s="47"/>
      <c r="F77" s="52" t="str">
        <f>IF(E77="","",E77*IF(AND(A77&lt;&gt;"",Settings!$C$10&lt;&gt;"",YEAR(A77)=Settings!$C$5,MONTH(A77)&gt;=Settings!$C$10),Settings!$C$9,Settings!$C$6))</f>
        <v/>
      </c>
      <c r="G77" s="48" t="str">
        <f t="shared" si="1"/>
        <v/>
      </c>
    </row>
    <row r="78" spans="1:7" ht="16" x14ac:dyDescent="0.2">
      <c r="A78" s="50"/>
      <c r="B78" s="47"/>
      <c r="C78" s="47"/>
      <c r="D78" s="47"/>
      <c r="E78" s="47"/>
      <c r="F78" s="52" t="str">
        <f>IF(E78="","",E78*IF(AND(A78&lt;&gt;"",Settings!$C$10&lt;&gt;"",YEAR(A78)=Settings!$C$5,MONTH(A78)&gt;=Settings!$C$10),Settings!$C$9,Settings!$C$6))</f>
        <v/>
      </c>
      <c r="G78" s="48" t="str">
        <f t="shared" si="1"/>
        <v/>
      </c>
    </row>
    <row r="79" spans="1:7" ht="16" x14ac:dyDescent="0.2">
      <c r="A79" s="50"/>
      <c r="B79" s="47"/>
      <c r="C79" s="47"/>
      <c r="D79" s="47"/>
      <c r="E79" s="47"/>
      <c r="F79" s="52" t="str">
        <f>IF(E79="","",E79*IF(AND(A79&lt;&gt;"",Settings!$C$10&lt;&gt;"",YEAR(A79)=Settings!$C$5,MONTH(A79)&gt;=Settings!$C$10),Settings!$C$9,Settings!$C$6))</f>
        <v/>
      </c>
      <c r="G79" s="48" t="str">
        <f t="shared" si="1"/>
        <v/>
      </c>
    </row>
    <row r="80" spans="1:7" ht="16" x14ac:dyDescent="0.2">
      <c r="A80" s="50"/>
      <c r="B80" s="47"/>
      <c r="C80" s="47"/>
      <c r="D80" s="47"/>
      <c r="E80" s="47"/>
      <c r="F80" s="52" t="str">
        <f>IF(E80="","",E80*IF(AND(A80&lt;&gt;"",Settings!$C$10&lt;&gt;"",YEAR(A80)=Settings!$C$5,MONTH(A80)&gt;=Settings!$C$10),Settings!$C$9,Settings!$C$6))</f>
        <v/>
      </c>
      <c r="G80" s="48" t="str">
        <f t="shared" si="1"/>
        <v/>
      </c>
    </row>
    <row r="81" spans="1:7" ht="16" x14ac:dyDescent="0.2">
      <c r="A81" s="50"/>
      <c r="B81" s="47"/>
      <c r="C81" s="47"/>
      <c r="D81" s="47"/>
      <c r="E81" s="47"/>
      <c r="F81" s="52" t="str">
        <f>IF(E81="","",E81*IF(AND(A81&lt;&gt;"",Settings!$C$10&lt;&gt;"",YEAR(A81)=Settings!$C$5,MONTH(A81)&gt;=Settings!$C$10),Settings!$C$9,Settings!$C$6))</f>
        <v/>
      </c>
      <c r="G81" s="48" t="str">
        <f t="shared" si="1"/>
        <v/>
      </c>
    </row>
    <row r="82" spans="1:7" ht="16" x14ac:dyDescent="0.2">
      <c r="A82" s="50"/>
      <c r="B82" s="47"/>
      <c r="C82" s="47"/>
      <c r="D82" s="47"/>
      <c r="E82" s="47"/>
      <c r="F82" s="52" t="str">
        <f>IF(E82="","",E82*IF(AND(A82&lt;&gt;"",Settings!$C$10&lt;&gt;"",YEAR(A82)=Settings!$C$5,MONTH(A82)&gt;=Settings!$C$10),Settings!$C$9,Settings!$C$6))</f>
        <v/>
      </c>
      <c r="G82" s="48" t="str">
        <f t="shared" si="1"/>
        <v/>
      </c>
    </row>
    <row r="83" spans="1:7" ht="16" x14ac:dyDescent="0.2">
      <c r="A83" s="50"/>
      <c r="B83" s="47"/>
      <c r="C83" s="47"/>
      <c r="D83" s="47"/>
      <c r="E83" s="47"/>
      <c r="F83" s="52" t="str">
        <f>IF(E83="","",E83*IF(AND(A83&lt;&gt;"",Settings!$C$10&lt;&gt;"",YEAR(A83)=Settings!$C$5,MONTH(A83)&gt;=Settings!$C$10),Settings!$C$9,Settings!$C$6))</f>
        <v/>
      </c>
      <c r="G83" s="48" t="str">
        <f t="shared" si="1"/>
        <v/>
      </c>
    </row>
    <row r="84" spans="1:7" ht="16" x14ac:dyDescent="0.2">
      <c r="A84" s="50"/>
      <c r="B84" s="47"/>
      <c r="C84" s="47"/>
      <c r="D84" s="47"/>
      <c r="E84" s="47"/>
      <c r="F84" s="52" t="str">
        <f>IF(E84="","",E84*IF(AND(A84&lt;&gt;"",Settings!$C$10&lt;&gt;"",YEAR(A84)=Settings!$C$5,MONTH(A84)&gt;=Settings!$C$10),Settings!$C$9,Settings!$C$6))</f>
        <v/>
      </c>
      <c r="G84" s="48" t="str">
        <f t="shared" si="1"/>
        <v/>
      </c>
    </row>
    <row r="85" spans="1:7" ht="16" x14ac:dyDescent="0.2">
      <c r="A85" s="50"/>
      <c r="B85" s="47"/>
      <c r="C85" s="47"/>
      <c r="D85" s="47"/>
      <c r="E85" s="47"/>
      <c r="F85" s="52" t="str">
        <f>IF(E85="","",E85*IF(AND(A85&lt;&gt;"",Settings!$C$10&lt;&gt;"",YEAR(A85)=Settings!$C$5,MONTH(A85)&gt;=Settings!$C$10),Settings!$C$9,Settings!$C$6))</f>
        <v/>
      </c>
      <c r="G85" s="48" t="str">
        <f t="shared" si="1"/>
        <v/>
      </c>
    </row>
    <row r="86" spans="1:7" ht="16" x14ac:dyDescent="0.2">
      <c r="A86" s="50"/>
      <c r="B86" s="47"/>
      <c r="C86" s="47"/>
      <c r="D86" s="47"/>
      <c r="E86" s="47"/>
      <c r="F86" s="52" t="str">
        <f>IF(E86="","",E86*IF(AND(A86&lt;&gt;"",Settings!$C$10&lt;&gt;"",YEAR(A86)=Settings!$C$5,MONTH(A86)&gt;=Settings!$C$10),Settings!$C$9,Settings!$C$6))</f>
        <v/>
      </c>
      <c r="G86" s="48" t="str">
        <f t="shared" si="1"/>
        <v/>
      </c>
    </row>
    <row r="87" spans="1:7" ht="16" x14ac:dyDescent="0.2">
      <c r="A87" s="50"/>
      <c r="B87" s="47"/>
      <c r="C87" s="47"/>
      <c r="D87" s="47"/>
      <c r="E87" s="47"/>
      <c r="F87" s="52" t="str">
        <f>IF(E87="","",E87*IF(AND(A87&lt;&gt;"",Settings!$C$10&lt;&gt;"",YEAR(A87)=Settings!$C$5,MONTH(A87)&gt;=Settings!$C$10),Settings!$C$9,Settings!$C$6))</f>
        <v/>
      </c>
      <c r="G87" s="48" t="str">
        <f t="shared" si="1"/>
        <v/>
      </c>
    </row>
    <row r="88" spans="1:7" ht="16" x14ac:dyDescent="0.2">
      <c r="A88" s="50"/>
      <c r="B88" s="47"/>
      <c r="C88" s="47"/>
      <c r="D88" s="47"/>
      <c r="E88" s="47"/>
      <c r="F88" s="52" t="str">
        <f>IF(E88="","",E88*IF(AND(A88&lt;&gt;"",Settings!$C$10&lt;&gt;"",YEAR(A88)=Settings!$C$5,MONTH(A88)&gt;=Settings!$C$10),Settings!$C$9,Settings!$C$6))</f>
        <v/>
      </c>
      <c r="G88" s="48" t="str">
        <f t="shared" si="1"/>
        <v/>
      </c>
    </row>
    <row r="89" spans="1:7" ht="16" x14ac:dyDescent="0.2">
      <c r="A89" s="50"/>
      <c r="B89" s="47"/>
      <c r="C89" s="47"/>
      <c r="D89" s="47"/>
      <c r="E89" s="47"/>
      <c r="F89" s="52" t="str">
        <f>IF(E89="","",E89*IF(AND(A89&lt;&gt;"",Settings!$C$10&lt;&gt;"",YEAR(A89)=Settings!$C$5,MONTH(A89)&gt;=Settings!$C$10),Settings!$C$9,Settings!$C$6))</f>
        <v/>
      </c>
      <c r="G89" s="48" t="str">
        <f t="shared" si="1"/>
        <v/>
      </c>
    </row>
    <row r="90" spans="1:7" ht="16" x14ac:dyDescent="0.2">
      <c r="A90" s="50"/>
      <c r="B90" s="47"/>
      <c r="C90" s="47"/>
      <c r="D90" s="47"/>
      <c r="E90" s="47"/>
      <c r="F90" s="52" t="str">
        <f>IF(E90="","",E90*IF(AND(A90&lt;&gt;"",Settings!$C$10&lt;&gt;"",YEAR(A90)=Settings!$C$5,MONTH(A90)&gt;=Settings!$C$10),Settings!$C$9,Settings!$C$6))</f>
        <v/>
      </c>
      <c r="G90" s="48" t="str">
        <f t="shared" si="1"/>
        <v/>
      </c>
    </row>
    <row r="91" spans="1:7" ht="16" x14ac:dyDescent="0.2">
      <c r="A91" s="50"/>
      <c r="B91" s="47"/>
      <c r="C91" s="47"/>
      <c r="D91" s="47"/>
      <c r="E91" s="47"/>
      <c r="F91" s="52" t="str">
        <f>IF(E91="","",E91*IF(AND(A91&lt;&gt;"",Settings!$C$10&lt;&gt;"",YEAR(A91)=Settings!$C$5,MONTH(A91)&gt;=Settings!$C$10),Settings!$C$9,Settings!$C$6))</f>
        <v/>
      </c>
      <c r="G91" s="48" t="str">
        <f t="shared" si="1"/>
        <v/>
      </c>
    </row>
    <row r="92" spans="1:7" ht="16" x14ac:dyDescent="0.2">
      <c r="A92" s="50"/>
      <c r="B92" s="47"/>
      <c r="C92" s="47"/>
      <c r="D92" s="47"/>
      <c r="E92" s="47"/>
      <c r="F92" s="52" t="str">
        <f>IF(E92="","",E92*IF(AND(A92&lt;&gt;"",Settings!$C$10&lt;&gt;"",YEAR(A92)=Settings!$C$5,MONTH(A92)&gt;=Settings!$C$10),Settings!$C$9,Settings!$C$6))</f>
        <v/>
      </c>
      <c r="G92" s="48" t="str">
        <f t="shared" si="1"/>
        <v/>
      </c>
    </row>
    <row r="93" spans="1:7" ht="16" x14ac:dyDescent="0.2">
      <c r="A93" s="50"/>
      <c r="B93" s="47"/>
      <c r="C93" s="47"/>
      <c r="D93" s="47"/>
      <c r="E93" s="47"/>
      <c r="F93" s="52" t="str">
        <f>IF(E93="","",E93*IF(AND(A93&lt;&gt;"",Settings!$C$10&lt;&gt;"",YEAR(A93)=Settings!$C$5,MONTH(A93)&gt;=Settings!$C$10),Settings!$C$9,Settings!$C$6))</f>
        <v/>
      </c>
      <c r="G93" s="48" t="str">
        <f t="shared" si="1"/>
        <v/>
      </c>
    </row>
    <row r="94" spans="1:7" ht="16" x14ac:dyDescent="0.2">
      <c r="A94" s="50"/>
      <c r="B94" s="47"/>
      <c r="C94" s="47"/>
      <c r="D94" s="47"/>
      <c r="E94" s="47"/>
      <c r="F94" s="52" t="str">
        <f>IF(E94="","",E94*IF(AND(A94&lt;&gt;"",Settings!$C$10&lt;&gt;"",YEAR(A94)=Settings!$C$5,MONTH(A94)&gt;=Settings!$C$10),Settings!$C$9,Settings!$C$6))</f>
        <v/>
      </c>
      <c r="G94" s="48" t="str">
        <f t="shared" si="1"/>
        <v/>
      </c>
    </row>
    <row r="95" spans="1:7" ht="16" x14ac:dyDescent="0.2">
      <c r="A95" s="50"/>
      <c r="B95" s="47"/>
      <c r="C95" s="47"/>
      <c r="D95" s="47"/>
      <c r="E95" s="47"/>
      <c r="F95" s="52" t="str">
        <f>IF(E95="","",E95*IF(AND(A95&lt;&gt;"",Settings!$C$10&lt;&gt;"",YEAR(A95)=Settings!$C$5,MONTH(A95)&gt;=Settings!$C$10),Settings!$C$9,Settings!$C$6))</f>
        <v/>
      </c>
      <c r="G95" s="48" t="str">
        <f t="shared" si="1"/>
        <v/>
      </c>
    </row>
    <row r="96" spans="1:7" ht="16" x14ac:dyDescent="0.2">
      <c r="A96" s="50"/>
      <c r="B96" s="47"/>
      <c r="C96" s="47"/>
      <c r="D96" s="47"/>
      <c r="E96" s="47"/>
      <c r="F96" s="52" t="str">
        <f>IF(E96="","",E96*IF(AND(A96&lt;&gt;"",Settings!$C$10&lt;&gt;"",YEAR(A96)=Settings!$C$5,MONTH(A96)&gt;=Settings!$C$10),Settings!$C$9,Settings!$C$6))</f>
        <v/>
      </c>
      <c r="G96" s="48" t="str">
        <f t="shared" si="1"/>
        <v/>
      </c>
    </row>
    <row r="97" spans="1:7" ht="16" x14ac:dyDescent="0.2">
      <c r="A97" s="50"/>
      <c r="B97" s="47"/>
      <c r="C97" s="47"/>
      <c r="D97" s="47"/>
      <c r="E97" s="47"/>
      <c r="F97" s="52" t="str">
        <f>IF(E97="","",E97*IF(AND(A97&lt;&gt;"",Settings!$C$10&lt;&gt;"",YEAR(A97)=Settings!$C$5,MONTH(A97)&gt;=Settings!$C$10),Settings!$C$9,Settings!$C$6))</f>
        <v/>
      </c>
      <c r="G97" s="48" t="str">
        <f t="shared" si="1"/>
        <v/>
      </c>
    </row>
    <row r="98" spans="1:7" ht="16" x14ac:dyDescent="0.2">
      <c r="A98" s="50"/>
      <c r="B98" s="47"/>
      <c r="C98" s="47"/>
      <c r="D98" s="47"/>
      <c r="E98" s="47"/>
      <c r="F98" s="52" t="str">
        <f>IF(E98="","",E98*IF(AND(A98&lt;&gt;"",Settings!$C$10&lt;&gt;"",YEAR(A98)=Settings!$C$5,MONTH(A98)&gt;=Settings!$C$10),Settings!$C$9,Settings!$C$6))</f>
        <v/>
      </c>
      <c r="G98" s="48" t="str">
        <f t="shared" si="1"/>
        <v/>
      </c>
    </row>
    <row r="99" spans="1:7" ht="16" x14ac:dyDescent="0.2">
      <c r="A99" s="50"/>
      <c r="B99" s="47"/>
      <c r="C99" s="47"/>
      <c r="D99" s="47"/>
      <c r="E99" s="47"/>
      <c r="F99" s="52" t="str">
        <f>IF(E99="","",E99*IF(AND(A99&lt;&gt;"",Settings!$C$10&lt;&gt;"",YEAR(A99)=Settings!$C$5,MONTH(A99)&gt;=Settings!$C$10),Settings!$C$9,Settings!$C$6))</f>
        <v/>
      </c>
      <c r="G99" s="48" t="str">
        <f t="shared" si="1"/>
        <v/>
      </c>
    </row>
    <row r="100" spans="1:7" ht="16" x14ac:dyDescent="0.2">
      <c r="A100" s="50"/>
      <c r="B100" s="47"/>
      <c r="C100" s="47"/>
      <c r="D100" s="47"/>
      <c r="E100" s="47"/>
      <c r="F100" s="52" t="str">
        <f>IF(E100="","",E100*IF(AND(A100&lt;&gt;"",Settings!$C$10&lt;&gt;"",YEAR(A100)=Settings!$C$5,MONTH(A100)&gt;=Settings!$C$10),Settings!$C$9,Settings!$C$6))</f>
        <v/>
      </c>
      <c r="G100" s="48" t="str">
        <f t="shared" si="1"/>
        <v/>
      </c>
    </row>
    <row r="101" spans="1:7" ht="16" x14ac:dyDescent="0.2">
      <c r="A101" s="50"/>
      <c r="B101" s="47"/>
      <c r="C101" s="47"/>
      <c r="D101" s="47"/>
      <c r="E101" s="47"/>
      <c r="F101" s="52" t="str">
        <f>IF(E101="","",E101*IF(AND(A101&lt;&gt;"",Settings!$C$10&lt;&gt;"",YEAR(A101)=Settings!$C$5,MONTH(A101)&gt;=Settings!$C$10),Settings!$C$9,Settings!$C$6))</f>
        <v/>
      </c>
      <c r="G101" s="48" t="str">
        <f t="shared" si="1"/>
        <v/>
      </c>
    </row>
    <row r="102" spans="1:7" ht="16" x14ac:dyDescent="0.2">
      <c r="A102" s="50"/>
      <c r="B102" s="47"/>
      <c r="C102" s="47"/>
      <c r="D102" s="47"/>
      <c r="E102" s="47"/>
      <c r="F102" s="52" t="str">
        <f>IF(E102="","",E102*IF(AND(A102&lt;&gt;"",Settings!$C$10&lt;&gt;"",YEAR(A102)=Settings!$C$5,MONTH(A102)&gt;=Settings!$C$10),Settings!$C$9,Settings!$C$6))</f>
        <v/>
      </c>
      <c r="G102" s="48" t="str">
        <f t="shared" si="1"/>
        <v/>
      </c>
    </row>
    <row r="103" spans="1:7" ht="16" x14ac:dyDescent="0.2">
      <c r="A103" s="50"/>
      <c r="B103" s="47"/>
      <c r="C103" s="47"/>
      <c r="D103" s="47"/>
      <c r="E103" s="47"/>
      <c r="F103" s="52" t="str">
        <f>IF(E103="","",E103*IF(AND(A103&lt;&gt;"",Settings!$C$10&lt;&gt;"",YEAR(A103)=Settings!$C$5,MONTH(A103)&gt;=Settings!$C$10),Settings!$C$9,Settings!$C$6))</f>
        <v/>
      </c>
      <c r="G103" s="48" t="str">
        <f t="shared" si="1"/>
        <v/>
      </c>
    </row>
    <row r="104" spans="1:7" ht="16" x14ac:dyDescent="0.2">
      <c r="A104" s="50"/>
      <c r="B104" s="47"/>
      <c r="C104" s="47"/>
      <c r="D104" s="47"/>
      <c r="E104" s="47"/>
      <c r="F104" s="52" t="str">
        <f>IF(E104="","",E104*IF(AND(A104&lt;&gt;"",Settings!$C$10&lt;&gt;"",YEAR(A104)=Settings!$C$5,MONTH(A104)&gt;=Settings!$C$10),Settings!$C$9,Settings!$C$6))</f>
        <v/>
      </c>
      <c r="G104" s="48" t="str">
        <f t="shared" si="1"/>
        <v/>
      </c>
    </row>
    <row r="105" spans="1:7" ht="16" x14ac:dyDescent="0.2">
      <c r="A105" s="50"/>
      <c r="B105" s="47"/>
      <c r="C105" s="47"/>
      <c r="D105" s="47"/>
      <c r="E105" s="47"/>
      <c r="F105" s="52" t="str">
        <f>IF(E105="","",E105*IF(AND(A105&lt;&gt;"",Settings!$C$10&lt;&gt;"",YEAR(A105)=Settings!$C$5,MONTH(A105)&gt;=Settings!$C$10),Settings!$C$9,Settings!$C$6))</f>
        <v/>
      </c>
      <c r="G105" s="48" t="str">
        <f t="shared" si="1"/>
        <v/>
      </c>
    </row>
    <row r="106" spans="1:7" ht="16" x14ac:dyDescent="0.2">
      <c r="A106" s="50"/>
      <c r="B106" s="47"/>
      <c r="C106" s="47"/>
      <c r="D106" s="47"/>
      <c r="E106" s="47"/>
      <c r="F106" s="52" t="str">
        <f>IF(E106="","",E106*IF(AND(A106&lt;&gt;"",Settings!$C$10&lt;&gt;"",YEAR(A106)=Settings!$C$5,MONTH(A106)&gt;=Settings!$C$10),Settings!$C$9,Settings!$C$6))</f>
        <v/>
      </c>
      <c r="G106" s="48" t="str">
        <f t="shared" si="1"/>
        <v/>
      </c>
    </row>
    <row r="107" spans="1:7" ht="16" x14ac:dyDescent="0.2">
      <c r="A107" s="50"/>
      <c r="B107" s="47"/>
      <c r="C107" s="47"/>
      <c r="D107" s="47"/>
      <c r="E107" s="47"/>
      <c r="F107" s="52" t="str">
        <f>IF(E107="","",E107*IF(AND(A107&lt;&gt;"",Settings!$C$10&lt;&gt;"",YEAR(A107)=Settings!$C$5,MONTH(A107)&gt;=Settings!$C$10),Settings!$C$9,Settings!$C$6))</f>
        <v/>
      </c>
      <c r="G107" s="48" t="str">
        <f t="shared" si="1"/>
        <v/>
      </c>
    </row>
    <row r="108" spans="1:7" ht="16" x14ac:dyDescent="0.2">
      <c r="A108" s="50"/>
      <c r="B108" s="47"/>
      <c r="C108" s="47"/>
      <c r="D108" s="47"/>
      <c r="E108" s="47"/>
      <c r="F108" s="52" t="str">
        <f>IF(E108="","",E108*IF(AND(A108&lt;&gt;"",Settings!$C$10&lt;&gt;"",YEAR(A108)=Settings!$C$5,MONTH(A108)&gt;=Settings!$C$10),Settings!$C$9,Settings!$C$6))</f>
        <v/>
      </c>
      <c r="G108" s="48" t="str">
        <f t="shared" si="1"/>
        <v/>
      </c>
    </row>
    <row r="109" spans="1:7" ht="16" x14ac:dyDescent="0.2">
      <c r="A109" s="50"/>
      <c r="B109" s="47"/>
      <c r="C109" s="47"/>
      <c r="D109" s="47"/>
      <c r="E109" s="47"/>
      <c r="F109" s="52" t="str">
        <f>IF(E109="","",E109*IF(AND(A109&lt;&gt;"",Settings!$C$10&lt;&gt;"",YEAR(A109)=Settings!$C$5,MONTH(A109)&gt;=Settings!$C$10),Settings!$C$9,Settings!$C$6))</f>
        <v/>
      </c>
      <c r="G109" s="48" t="str">
        <f t="shared" si="1"/>
        <v/>
      </c>
    </row>
    <row r="110" spans="1:7" ht="16" x14ac:dyDescent="0.2">
      <c r="A110" s="50"/>
      <c r="B110" s="47"/>
      <c r="C110" s="47"/>
      <c r="D110" s="47"/>
      <c r="E110" s="47"/>
      <c r="F110" s="52" t="str">
        <f>IF(E110="","",E110*IF(AND(A110&lt;&gt;"",Settings!$C$10&lt;&gt;"",YEAR(A110)=Settings!$C$5,MONTH(A110)&gt;=Settings!$C$10),Settings!$C$9,Settings!$C$6))</f>
        <v/>
      </c>
      <c r="G110" s="48" t="str">
        <f t="shared" si="1"/>
        <v/>
      </c>
    </row>
    <row r="111" spans="1:7" ht="16" x14ac:dyDescent="0.2">
      <c r="A111" s="50"/>
      <c r="B111" s="47"/>
      <c r="C111" s="47"/>
      <c r="D111" s="47"/>
      <c r="E111" s="47"/>
      <c r="F111" s="52" t="str">
        <f>IF(E111="","",E111*IF(AND(A111&lt;&gt;"",Settings!$C$10&lt;&gt;"",YEAR(A111)=Settings!$C$5,MONTH(A111)&gt;=Settings!$C$10),Settings!$C$9,Settings!$C$6))</f>
        <v/>
      </c>
      <c r="G111" s="48" t="str">
        <f t="shared" si="1"/>
        <v/>
      </c>
    </row>
    <row r="112" spans="1:7" ht="16" x14ac:dyDescent="0.2">
      <c r="A112" s="50"/>
      <c r="B112" s="47"/>
      <c r="C112" s="47"/>
      <c r="D112" s="47"/>
      <c r="E112" s="47"/>
      <c r="F112" s="52" t="str">
        <f>IF(E112="","",E112*IF(AND(A112&lt;&gt;"",Settings!$C$10&lt;&gt;"",YEAR(A112)=Settings!$C$5,MONTH(A112)&gt;=Settings!$C$10),Settings!$C$9,Settings!$C$6))</f>
        <v/>
      </c>
      <c r="G112" s="48" t="str">
        <f t="shared" si="1"/>
        <v/>
      </c>
    </row>
    <row r="113" spans="1:7" ht="16" x14ac:dyDescent="0.2">
      <c r="A113" s="50"/>
      <c r="B113" s="47"/>
      <c r="C113" s="47"/>
      <c r="D113" s="47"/>
      <c r="E113" s="47"/>
      <c r="F113" s="52" t="str">
        <f>IF(E113="","",E113*IF(AND(A113&lt;&gt;"",Settings!$C$10&lt;&gt;"",YEAR(A113)=Settings!$C$5,MONTH(A113)&gt;=Settings!$C$10),Settings!$C$9,Settings!$C$6))</f>
        <v/>
      </c>
      <c r="G113" s="48" t="str">
        <f t="shared" si="1"/>
        <v/>
      </c>
    </row>
    <row r="114" spans="1:7" ht="16" x14ac:dyDescent="0.2">
      <c r="A114" s="50"/>
      <c r="B114" s="47"/>
      <c r="C114" s="47"/>
      <c r="D114" s="47"/>
      <c r="E114" s="47"/>
      <c r="F114" s="52" t="str">
        <f>IF(E114="","",E114*IF(AND(A114&lt;&gt;"",Settings!$C$10&lt;&gt;"",YEAR(A114)=Settings!$C$5,MONTH(A114)&gt;=Settings!$C$10),Settings!$C$9,Settings!$C$6))</f>
        <v/>
      </c>
      <c r="G114" s="48" t="str">
        <f t="shared" si="1"/>
        <v/>
      </c>
    </row>
    <row r="115" spans="1:7" ht="16" x14ac:dyDescent="0.2">
      <c r="A115" s="50"/>
      <c r="B115" s="47"/>
      <c r="C115" s="47"/>
      <c r="D115" s="47"/>
      <c r="E115" s="47"/>
      <c r="F115" s="52" t="str">
        <f>IF(E115="","",E115*IF(AND(A115&lt;&gt;"",Settings!$C$10&lt;&gt;"",YEAR(A115)=Settings!$C$5,MONTH(A115)&gt;=Settings!$C$10),Settings!$C$9,Settings!$C$6))</f>
        <v/>
      </c>
      <c r="G115" s="48" t="str">
        <f t="shared" si="1"/>
        <v/>
      </c>
    </row>
    <row r="116" spans="1:7" ht="16" x14ac:dyDescent="0.2">
      <c r="A116" s="50"/>
      <c r="B116" s="47"/>
      <c r="C116" s="47"/>
      <c r="D116" s="47"/>
      <c r="E116" s="47"/>
      <c r="F116" s="52" t="str">
        <f>IF(E116="","",E116*IF(AND(A116&lt;&gt;"",Settings!$C$10&lt;&gt;"",YEAR(A116)=Settings!$C$5,MONTH(A116)&gt;=Settings!$C$10),Settings!$C$9,Settings!$C$6))</f>
        <v/>
      </c>
      <c r="G116" s="48" t="str">
        <f t="shared" si="1"/>
        <v/>
      </c>
    </row>
    <row r="117" spans="1:7" ht="16" x14ac:dyDescent="0.2">
      <c r="A117" s="50"/>
      <c r="B117" s="47"/>
      <c r="C117" s="47"/>
      <c r="D117" s="47"/>
      <c r="E117" s="47"/>
      <c r="F117" s="52" t="str">
        <f>IF(E117="","",E117*IF(AND(A117&lt;&gt;"",Settings!$C$10&lt;&gt;"",YEAR(A117)=Settings!$C$5,MONTH(A117)&gt;=Settings!$C$10),Settings!$C$9,Settings!$C$6))</f>
        <v/>
      </c>
      <c r="G117" s="48" t="str">
        <f t="shared" si="1"/>
        <v/>
      </c>
    </row>
    <row r="118" spans="1:7" ht="16" x14ac:dyDescent="0.2">
      <c r="A118" s="50"/>
      <c r="B118" s="47"/>
      <c r="C118" s="47"/>
      <c r="D118" s="47"/>
      <c r="E118" s="47"/>
      <c r="F118" s="52" t="str">
        <f>IF(E118="","",E118*IF(AND(A118&lt;&gt;"",Settings!$C$10&lt;&gt;"",YEAR(A118)=Settings!$C$5,MONTH(A118)&gt;=Settings!$C$10),Settings!$C$9,Settings!$C$6))</f>
        <v/>
      </c>
      <c r="G118" s="48" t="str">
        <f t="shared" si="1"/>
        <v/>
      </c>
    </row>
    <row r="119" spans="1:7" ht="16" x14ac:dyDescent="0.2">
      <c r="A119" s="50"/>
      <c r="B119" s="47"/>
      <c r="C119" s="47"/>
      <c r="D119" s="47"/>
      <c r="E119" s="47"/>
      <c r="F119" s="52" t="str">
        <f>IF(E119="","",E119*IF(AND(A119&lt;&gt;"",Settings!$C$10&lt;&gt;"",YEAR(A119)=Settings!$C$5,MONTH(A119)&gt;=Settings!$C$10),Settings!$C$9,Settings!$C$6))</f>
        <v/>
      </c>
      <c r="G119" s="48" t="str">
        <f t="shared" si="1"/>
        <v/>
      </c>
    </row>
    <row r="120" spans="1:7" ht="16" x14ac:dyDescent="0.2">
      <c r="A120" s="50"/>
      <c r="B120" s="47"/>
      <c r="C120" s="47"/>
      <c r="D120" s="47"/>
      <c r="E120" s="47"/>
      <c r="F120" s="52" t="str">
        <f>IF(E120="","",E120*IF(AND(A120&lt;&gt;"",Settings!$C$10&lt;&gt;"",YEAR(A120)=Settings!$C$5,MONTH(A120)&gt;=Settings!$C$10),Settings!$C$9,Settings!$C$6))</f>
        <v/>
      </c>
      <c r="G120" s="48" t="str">
        <f t="shared" si="1"/>
        <v/>
      </c>
    </row>
    <row r="121" spans="1:7" ht="16" x14ac:dyDescent="0.2">
      <c r="A121" s="50"/>
      <c r="B121" s="47"/>
      <c r="C121" s="47"/>
      <c r="D121" s="47"/>
      <c r="E121" s="47"/>
      <c r="F121" s="52" t="str">
        <f>IF(E121="","",E121*IF(AND(A121&lt;&gt;"",Settings!$C$10&lt;&gt;"",YEAR(A121)=Settings!$C$5,MONTH(A121)&gt;=Settings!$C$10),Settings!$C$9,Settings!$C$6))</f>
        <v/>
      </c>
      <c r="G121" s="48" t="str">
        <f t="shared" si="1"/>
        <v/>
      </c>
    </row>
    <row r="122" spans="1:7" ht="16" x14ac:dyDescent="0.2">
      <c r="A122" s="50"/>
      <c r="B122" s="47"/>
      <c r="C122" s="47"/>
      <c r="D122" s="47"/>
      <c r="E122" s="47"/>
      <c r="F122" s="52" t="str">
        <f>IF(E122="","",E122*IF(AND(A122&lt;&gt;"",Settings!$C$10&lt;&gt;"",YEAR(A122)=Settings!$C$5,MONTH(A122)&gt;=Settings!$C$10),Settings!$C$9,Settings!$C$6))</f>
        <v/>
      </c>
      <c r="G122" s="48" t="str">
        <f t="shared" si="1"/>
        <v/>
      </c>
    </row>
    <row r="123" spans="1:7" ht="16" x14ac:dyDescent="0.2">
      <c r="A123" s="50"/>
      <c r="B123" s="47"/>
      <c r="C123" s="47"/>
      <c r="D123" s="47"/>
      <c r="E123" s="47"/>
      <c r="F123" s="52" t="str">
        <f>IF(E123="","",E123*IF(AND(A123&lt;&gt;"",Settings!$C$10&lt;&gt;"",YEAR(A123)=Settings!$C$5,MONTH(A123)&gt;=Settings!$C$10),Settings!$C$9,Settings!$C$6))</f>
        <v/>
      </c>
      <c r="G123" s="48" t="str">
        <f t="shared" si="1"/>
        <v/>
      </c>
    </row>
    <row r="124" spans="1:7" ht="16" x14ac:dyDescent="0.2">
      <c r="A124" s="50"/>
      <c r="B124" s="47"/>
      <c r="C124" s="47"/>
      <c r="D124" s="47"/>
      <c r="E124" s="47"/>
      <c r="F124" s="52" t="str">
        <f>IF(E124="","",E124*IF(AND(A124&lt;&gt;"",Settings!$C$10&lt;&gt;"",YEAR(A124)=Settings!$C$5,MONTH(A124)&gt;=Settings!$C$10),Settings!$C$9,Settings!$C$6))</f>
        <v/>
      </c>
      <c r="G124" s="48" t="str">
        <f t="shared" si="1"/>
        <v/>
      </c>
    </row>
    <row r="125" spans="1:7" ht="16" x14ac:dyDescent="0.2">
      <c r="A125" s="50"/>
      <c r="B125" s="47"/>
      <c r="C125" s="47"/>
      <c r="D125" s="47"/>
      <c r="E125" s="47"/>
      <c r="F125" s="52" t="str">
        <f>IF(E125="","",E125*IF(AND(A125&lt;&gt;"",Settings!$C$10&lt;&gt;"",YEAR(A125)=Settings!$C$5,MONTH(A125)&gt;=Settings!$C$10),Settings!$C$9,Settings!$C$6))</f>
        <v/>
      </c>
      <c r="G125" s="48" t="str">
        <f t="shared" si="1"/>
        <v/>
      </c>
    </row>
    <row r="126" spans="1:7" ht="16" x14ac:dyDescent="0.2">
      <c r="A126" s="50"/>
      <c r="B126" s="47"/>
      <c r="C126" s="47"/>
      <c r="D126" s="47"/>
      <c r="E126" s="47"/>
      <c r="F126" s="52" t="str">
        <f>IF(E126="","",E126*IF(AND(A126&lt;&gt;"",Settings!$C$10&lt;&gt;"",YEAR(A126)=Settings!$C$5,MONTH(A126)&gt;=Settings!$C$10),Settings!$C$9,Settings!$C$6))</f>
        <v/>
      </c>
      <c r="G126" s="48" t="str">
        <f t="shared" si="1"/>
        <v/>
      </c>
    </row>
    <row r="127" spans="1:7" ht="16" x14ac:dyDescent="0.2">
      <c r="A127" s="50"/>
      <c r="B127" s="47"/>
      <c r="C127" s="47"/>
      <c r="D127" s="47"/>
      <c r="E127" s="47"/>
      <c r="F127" s="52" t="str">
        <f>IF(E127="","",E127*IF(AND(A127&lt;&gt;"",Settings!$C$10&lt;&gt;"",YEAR(A127)=Settings!$C$5,MONTH(A127)&gt;=Settings!$C$10),Settings!$C$9,Settings!$C$6))</f>
        <v/>
      </c>
      <c r="G127" s="48" t="str">
        <f t="shared" si="1"/>
        <v/>
      </c>
    </row>
    <row r="128" spans="1:7" ht="16" x14ac:dyDescent="0.2">
      <c r="A128" s="50"/>
      <c r="B128" s="47"/>
      <c r="C128" s="47"/>
      <c r="D128" s="47"/>
      <c r="E128" s="47"/>
      <c r="F128" s="52" t="str">
        <f>IF(E128="","",E128*IF(AND(A128&lt;&gt;"",Settings!$C$10&lt;&gt;"",YEAR(A128)=Settings!$C$5,MONTH(A128)&gt;=Settings!$C$10),Settings!$C$9,Settings!$C$6))</f>
        <v/>
      </c>
      <c r="G128" s="48" t="str">
        <f t="shared" si="1"/>
        <v/>
      </c>
    </row>
    <row r="129" spans="1:7" ht="16" x14ac:dyDescent="0.2">
      <c r="A129" s="50"/>
      <c r="B129" s="47"/>
      <c r="C129" s="47"/>
      <c r="D129" s="47"/>
      <c r="E129" s="47"/>
      <c r="F129" s="52" t="str">
        <f>IF(E129="","",E129*IF(AND(A129&lt;&gt;"",Settings!$C$10&lt;&gt;"",YEAR(A129)=Settings!$C$5,MONTH(A129)&gt;=Settings!$C$10),Settings!$C$9,Settings!$C$6))</f>
        <v/>
      </c>
      <c r="G129" s="48" t="str">
        <f t="shared" si="1"/>
        <v/>
      </c>
    </row>
    <row r="130" spans="1:7" ht="16" x14ac:dyDescent="0.2">
      <c r="A130" s="50"/>
      <c r="B130" s="47"/>
      <c r="C130" s="47"/>
      <c r="D130" s="47"/>
      <c r="E130" s="47"/>
      <c r="F130" s="52" t="str">
        <f>IF(E130="","",E130*IF(AND(A130&lt;&gt;"",Settings!$C$10&lt;&gt;"",YEAR(A130)=Settings!$C$5,MONTH(A130)&gt;=Settings!$C$10),Settings!$C$9,Settings!$C$6))</f>
        <v/>
      </c>
      <c r="G130" s="48" t="str">
        <f t="shared" si="1"/>
        <v/>
      </c>
    </row>
    <row r="131" spans="1:7" ht="16" x14ac:dyDescent="0.2">
      <c r="A131" s="50"/>
      <c r="B131" s="47"/>
      <c r="C131" s="47"/>
      <c r="D131" s="47"/>
      <c r="E131" s="47"/>
      <c r="F131" s="52" t="str">
        <f>IF(E131="","",E131*IF(AND(A131&lt;&gt;"",Settings!$C$10&lt;&gt;"",YEAR(A131)=Settings!$C$5,MONTH(A131)&gt;=Settings!$C$10),Settings!$C$9,Settings!$C$6))</f>
        <v/>
      </c>
      <c r="G131" s="48" t="str">
        <f t="shared" si="1"/>
        <v/>
      </c>
    </row>
    <row r="132" spans="1:7" ht="16" x14ac:dyDescent="0.2">
      <c r="A132" s="50"/>
      <c r="B132" s="47"/>
      <c r="C132" s="47"/>
      <c r="D132" s="47"/>
      <c r="E132" s="47"/>
      <c r="F132" s="52" t="str">
        <f>IF(E132="","",E132*IF(AND(A132&lt;&gt;"",Settings!$C$10&lt;&gt;"",YEAR(A132)=Settings!$C$5,MONTH(A132)&gt;=Settings!$C$10),Settings!$C$9,Settings!$C$6))</f>
        <v/>
      </c>
      <c r="G132" s="48" t="str">
        <f t="shared" si="1"/>
        <v/>
      </c>
    </row>
    <row r="133" spans="1:7" ht="16" x14ac:dyDescent="0.2">
      <c r="A133" s="50"/>
      <c r="B133" s="47"/>
      <c r="C133" s="47"/>
      <c r="D133" s="47"/>
      <c r="E133" s="47"/>
      <c r="F133" s="52" t="str">
        <f>IF(E133="","",E133*IF(AND(A133&lt;&gt;"",Settings!$C$10&lt;&gt;"",YEAR(A133)=Settings!$C$5,MONTH(A133)&gt;=Settings!$C$10),Settings!$C$9,Settings!$C$6))</f>
        <v/>
      </c>
      <c r="G133" s="48" t="str">
        <f t="shared" si="1"/>
        <v/>
      </c>
    </row>
    <row r="134" spans="1:7" ht="16" x14ac:dyDescent="0.2">
      <c r="A134" s="50"/>
      <c r="B134" s="47"/>
      <c r="C134" s="47"/>
      <c r="D134" s="47"/>
      <c r="E134" s="47"/>
      <c r="F134" s="52" t="str">
        <f>IF(E134="","",E134*IF(AND(A134&lt;&gt;"",Settings!$C$10&lt;&gt;"",YEAR(A134)=Settings!$C$5,MONTH(A134)&gt;=Settings!$C$10),Settings!$C$9,Settings!$C$6))</f>
        <v/>
      </c>
      <c r="G134" s="48" t="str">
        <f t="shared" si="1"/>
        <v/>
      </c>
    </row>
    <row r="135" spans="1:7" ht="16" x14ac:dyDescent="0.2">
      <c r="A135" s="50"/>
      <c r="B135" s="47"/>
      <c r="C135" s="47"/>
      <c r="D135" s="47"/>
      <c r="E135" s="47"/>
      <c r="F135" s="52" t="str">
        <f>IF(E135="","",E135*IF(AND(A135&lt;&gt;"",Settings!$C$10&lt;&gt;"",YEAR(A135)=Settings!$C$5,MONTH(A135)&gt;=Settings!$C$10),Settings!$C$9,Settings!$C$6))</f>
        <v/>
      </c>
      <c r="G135" s="48" t="str">
        <f t="shared" ref="G135:G198" si="2">IF(OR(A135="",E135=""),"",YEAR(A135))</f>
        <v/>
      </c>
    </row>
    <row r="136" spans="1:7" ht="16" x14ac:dyDescent="0.2">
      <c r="A136" s="50"/>
      <c r="B136" s="47"/>
      <c r="C136" s="47"/>
      <c r="D136" s="47"/>
      <c r="E136" s="47"/>
      <c r="F136" s="52" t="str">
        <f>IF(E136="","",E136*IF(AND(A136&lt;&gt;"",Settings!$C$10&lt;&gt;"",YEAR(A136)=Settings!$C$5,MONTH(A136)&gt;=Settings!$C$10),Settings!$C$9,Settings!$C$6))</f>
        <v/>
      </c>
      <c r="G136" s="48" t="str">
        <f t="shared" si="2"/>
        <v/>
      </c>
    </row>
    <row r="137" spans="1:7" ht="16" x14ac:dyDescent="0.2">
      <c r="A137" s="50"/>
      <c r="B137" s="47"/>
      <c r="C137" s="47"/>
      <c r="D137" s="47"/>
      <c r="E137" s="47"/>
      <c r="F137" s="52" t="str">
        <f>IF(E137="","",E137*IF(AND(A137&lt;&gt;"",Settings!$C$10&lt;&gt;"",YEAR(A137)=Settings!$C$5,MONTH(A137)&gt;=Settings!$C$10),Settings!$C$9,Settings!$C$6))</f>
        <v/>
      </c>
      <c r="G137" s="48" t="str">
        <f t="shared" si="2"/>
        <v/>
      </c>
    </row>
    <row r="138" spans="1:7" ht="16" x14ac:dyDescent="0.2">
      <c r="A138" s="50"/>
      <c r="B138" s="47"/>
      <c r="C138" s="47"/>
      <c r="D138" s="47"/>
      <c r="E138" s="47"/>
      <c r="F138" s="52" t="str">
        <f>IF(E138="","",E138*IF(AND(A138&lt;&gt;"",Settings!$C$10&lt;&gt;"",YEAR(A138)=Settings!$C$5,MONTH(A138)&gt;=Settings!$C$10),Settings!$C$9,Settings!$C$6))</f>
        <v/>
      </c>
      <c r="G138" s="48" t="str">
        <f t="shared" si="2"/>
        <v/>
      </c>
    </row>
    <row r="139" spans="1:7" ht="16" x14ac:dyDescent="0.2">
      <c r="A139" s="50"/>
      <c r="B139" s="47"/>
      <c r="C139" s="47"/>
      <c r="D139" s="47"/>
      <c r="E139" s="47"/>
      <c r="F139" s="52" t="str">
        <f>IF(E139="","",E139*IF(AND(A139&lt;&gt;"",Settings!$C$10&lt;&gt;"",YEAR(A139)=Settings!$C$5,MONTH(A139)&gt;=Settings!$C$10),Settings!$C$9,Settings!$C$6))</f>
        <v/>
      </c>
      <c r="G139" s="48" t="str">
        <f t="shared" si="2"/>
        <v/>
      </c>
    </row>
    <row r="140" spans="1:7" ht="16" x14ac:dyDescent="0.2">
      <c r="A140" s="50"/>
      <c r="B140" s="47"/>
      <c r="C140" s="47"/>
      <c r="D140" s="47"/>
      <c r="E140" s="47"/>
      <c r="F140" s="52" t="str">
        <f>IF(E140="","",E140*IF(AND(A140&lt;&gt;"",Settings!$C$10&lt;&gt;"",YEAR(A140)=Settings!$C$5,MONTH(A140)&gt;=Settings!$C$10),Settings!$C$9,Settings!$C$6))</f>
        <v/>
      </c>
      <c r="G140" s="48" t="str">
        <f t="shared" si="2"/>
        <v/>
      </c>
    </row>
    <row r="141" spans="1:7" ht="16" x14ac:dyDescent="0.2">
      <c r="A141" s="50"/>
      <c r="B141" s="47"/>
      <c r="C141" s="47"/>
      <c r="D141" s="47"/>
      <c r="E141" s="47"/>
      <c r="F141" s="52" t="str">
        <f>IF(E141="","",E141*IF(AND(A141&lt;&gt;"",Settings!$C$10&lt;&gt;"",YEAR(A141)=Settings!$C$5,MONTH(A141)&gt;=Settings!$C$10),Settings!$C$9,Settings!$C$6))</f>
        <v/>
      </c>
      <c r="G141" s="48" t="str">
        <f t="shared" si="2"/>
        <v/>
      </c>
    </row>
    <row r="142" spans="1:7" ht="16" x14ac:dyDescent="0.2">
      <c r="A142" s="50"/>
      <c r="B142" s="47"/>
      <c r="C142" s="47"/>
      <c r="D142" s="47"/>
      <c r="E142" s="47"/>
      <c r="F142" s="52" t="str">
        <f>IF(E142="","",E142*IF(AND(A142&lt;&gt;"",Settings!$C$10&lt;&gt;"",YEAR(A142)=Settings!$C$5,MONTH(A142)&gt;=Settings!$C$10),Settings!$C$9,Settings!$C$6))</f>
        <v/>
      </c>
      <c r="G142" s="48" t="str">
        <f t="shared" si="2"/>
        <v/>
      </c>
    </row>
    <row r="143" spans="1:7" ht="16" x14ac:dyDescent="0.2">
      <c r="A143" s="50"/>
      <c r="B143" s="47"/>
      <c r="C143" s="47"/>
      <c r="D143" s="47"/>
      <c r="E143" s="47"/>
      <c r="F143" s="52" t="str">
        <f>IF(E143="","",E143*IF(AND(A143&lt;&gt;"",Settings!$C$10&lt;&gt;"",YEAR(A143)=Settings!$C$5,MONTH(A143)&gt;=Settings!$C$10),Settings!$C$9,Settings!$C$6))</f>
        <v/>
      </c>
      <c r="G143" s="48" t="str">
        <f t="shared" si="2"/>
        <v/>
      </c>
    </row>
    <row r="144" spans="1:7" ht="16" x14ac:dyDescent="0.2">
      <c r="A144" s="50"/>
      <c r="B144" s="47"/>
      <c r="C144" s="47"/>
      <c r="D144" s="47"/>
      <c r="E144" s="47"/>
      <c r="F144" s="52" t="str">
        <f>IF(E144="","",E144*IF(AND(A144&lt;&gt;"",Settings!$C$10&lt;&gt;"",YEAR(A144)=Settings!$C$5,MONTH(A144)&gt;=Settings!$C$10),Settings!$C$9,Settings!$C$6))</f>
        <v/>
      </c>
      <c r="G144" s="48" t="str">
        <f t="shared" si="2"/>
        <v/>
      </c>
    </row>
    <row r="145" spans="1:7" ht="16" x14ac:dyDescent="0.2">
      <c r="A145" s="50"/>
      <c r="B145" s="47"/>
      <c r="C145" s="47"/>
      <c r="D145" s="47"/>
      <c r="E145" s="47"/>
      <c r="F145" s="52" t="str">
        <f>IF(E145="","",E145*IF(AND(A145&lt;&gt;"",Settings!$C$10&lt;&gt;"",YEAR(A145)=Settings!$C$5,MONTH(A145)&gt;=Settings!$C$10),Settings!$C$9,Settings!$C$6))</f>
        <v/>
      </c>
      <c r="G145" s="48" t="str">
        <f t="shared" si="2"/>
        <v/>
      </c>
    </row>
    <row r="146" spans="1:7" ht="16" x14ac:dyDescent="0.2">
      <c r="A146" s="50"/>
      <c r="B146" s="47"/>
      <c r="C146" s="47"/>
      <c r="D146" s="47"/>
      <c r="E146" s="47"/>
      <c r="F146" s="52" t="str">
        <f>IF(E146="","",E146*IF(AND(A146&lt;&gt;"",Settings!$C$10&lt;&gt;"",YEAR(A146)=Settings!$C$5,MONTH(A146)&gt;=Settings!$C$10),Settings!$C$9,Settings!$C$6))</f>
        <v/>
      </c>
      <c r="G146" s="48" t="str">
        <f t="shared" si="2"/>
        <v/>
      </c>
    </row>
    <row r="147" spans="1:7" ht="16" x14ac:dyDescent="0.2">
      <c r="A147" s="50"/>
      <c r="B147" s="47"/>
      <c r="C147" s="47"/>
      <c r="D147" s="47"/>
      <c r="E147" s="47"/>
      <c r="F147" s="52" t="str">
        <f>IF(E147="","",E147*IF(AND(A147&lt;&gt;"",Settings!$C$10&lt;&gt;"",YEAR(A147)=Settings!$C$5,MONTH(A147)&gt;=Settings!$C$10),Settings!$C$9,Settings!$C$6))</f>
        <v/>
      </c>
      <c r="G147" s="48" t="str">
        <f t="shared" si="2"/>
        <v/>
      </c>
    </row>
    <row r="148" spans="1:7" ht="16" x14ac:dyDescent="0.2">
      <c r="A148" s="50"/>
      <c r="B148" s="47"/>
      <c r="C148" s="47"/>
      <c r="D148" s="47"/>
      <c r="E148" s="47"/>
      <c r="F148" s="52" t="str">
        <f>IF(E148="","",E148*IF(AND(A148&lt;&gt;"",Settings!$C$10&lt;&gt;"",YEAR(A148)=Settings!$C$5,MONTH(A148)&gt;=Settings!$C$10),Settings!$C$9,Settings!$C$6))</f>
        <v/>
      </c>
      <c r="G148" s="48" t="str">
        <f t="shared" si="2"/>
        <v/>
      </c>
    </row>
    <row r="149" spans="1:7" ht="16" x14ac:dyDescent="0.2">
      <c r="A149" s="50"/>
      <c r="B149" s="47"/>
      <c r="C149" s="47"/>
      <c r="D149" s="47"/>
      <c r="E149" s="47"/>
      <c r="F149" s="52" t="str">
        <f>IF(E149="","",E149*IF(AND(A149&lt;&gt;"",Settings!$C$10&lt;&gt;"",YEAR(A149)=Settings!$C$5,MONTH(A149)&gt;=Settings!$C$10),Settings!$C$9,Settings!$C$6))</f>
        <v/>
      </c>
      <c r="G149" s="48" t="str">
        <f t="shared" si="2"/>
        <v/>
      </c>
    </row>
    <row r="150" spans="1:7" ht="16" x14ac:dyDescent="0.2">
      <c r="A150" s="50"/>
      <c r="B150" s="47"/>
      <c r="C150" s="47"/>
      <c r="D150" s="47"/>
      <c r="E150" s="47"/>
      <c r="F150" s="52" t="str">
        <f>IF(E150="","",E150*IF(AND(A150&lt;&gt;"",Settings!$C$10&lt;&gt;"",YEAR(A150)=Settings!$C$5,MONTH(A150)&gt;=Settings!$C$10),Settings!$C$9,Settings!$C$6))</f>
        <v/>
      </c>
      <c r="G150" s="48" t="str">
        <f t="shared" si="2"/>
        <v/>
      </c>
    </row>
    <row r="151" spans="1:7" ht="16" x14ac:dyDescent="0.2">
      <c r="A151" s="50"/>
      <c r="B151" s="47"/>
      <c r="C151" s="47"/>
      <c r="D151" s="47"/>
      <c r="E151" s="47"/>
      <c r="F151" s="52" t="str">
        <f>IF(E151="","",E151*IF(AND(A151&lt;&gt;"",Settings!$C$10&lt;&gt;"",YEAR(A151)=Settings!$C$5,MONTH(A151)&gt;=Settings!$C$10),Settings!$C$9,Settings!$C$6))</f>
        <v/>
      </c>
      <c r="G151" s="48" t="str">
        <f t="shared" si="2"/>
        <v/>
      </c>
    </row>
    <row r="152" spans="1:7" ht="16" x14ac:dyDescent="0.2">
      <c r="A152" s="50"/>
      <c r="B152" s="47"/>
      <c r="C152" s="47"/>
      <c r="D152" s="47"/>
      <c r="E152" s="47"/>
      <c r="F152" s="52" t="str">
        <f>IF(E152="","",E152*IF(AND(A152&lt;&gt;"",Settings!$C$10&lt;&gt;"",YEAR(A152)=Settings!$C$5,MONTH(A152)&gt;=Settings!$C$10),Settings!$C$9,Settings!$C$6))</f>
        <v/>
      </c>
      <c r="G152" s="48" t="str">
        <f t="shared" si="2"/>
        <v/>
      </c>
    </row>
    <row r="153" spans="1:7" ht="16" x14ac:dyDescent="0.2">
      <c r="A153" s="50"/>
      <c r="B153" s="47"/>
      <c r="C153" s="47"/>
      <c r="D153" s="47"/>
      <c r="E153" s="47"/>
      <c r="F153" s="52" t="str">
        <f>IF(E153="","",E153*IF(AND(A153&lt;&gt;"",Settings!$C$10&lt;&gt;"",YEAR(A153)=Settings!$C$5,MONTH(A153)&gt;=Settings!$C$10),Settings!$C$9,Settings!$C$6))</f>
        <v/>
      </c>
      <c r="G153" s="48" t="str">
        <f t="shared" si="2"/>
        <v/>
      </c>
    </row>
    <row r="154" spans="1:7" ht="16" x14ac:dyDescent="0.2">
      <c r="A154" s="50"/>
      <c r="B154" s="47"/>
      <c r="C154" s="47"/>
      <c r="D154" s="47"/>
      <c r="E154" s="47"/>
      <c r="F154" s="52" t="str">
        <f>IF(E154="","",E154*IF(AND(A154&lt;&gt;"",Settings!$C$10&lt;&gt;"",YEAR(A154)=Settings!$C$5,MONTH(A154)&gt;=Settings!$C$10),Settings!$C$9,Settings!$C$6))</f>
        <v/>
      </c>
      <c r="G154" s="48" t="str">
        <f t="shared" si="2"/>
        <v/>
      </c>
    </row>
    <row r="155" spans="1:7" ht="16" x14ac:dyDescent="0.2">
      <c r="A155" s="50"/>
      <c r="B155" s="47"/>
      <c r="C155" s="47"/>
      <c r="D155" s="47"/>
      <c r="E155" s="47"/>
      <c r="F155" s="52" t="str">
        <f>IF(E155="","",E155*IF(AND(A155&lt;&gt;"",Settings!$C$10&lt;&gt;"",YEAR(A155)=Settings!$C$5,MONTH(A155)&gt;=Settings!$C$10),Settings!$C$9,Settings!$C$6))</f>
        <v/>
      </c>
      <c r="G155" s="48" t="str">
        <f t="shared" si="2"/>
        <v/>
      </c>
    </row>
    <row r="156" spans="1:7" ht="16" x14ac:dyDescent="0.2">
      <c r="A156" s="50"/>
      <c r="B156" s="47"/>
      <c r="C156" s="47"/>
      <c r="D156" s="47"/>
      <c r="E156" s="47"/>
      <c r="F156" s="52" t="str">
        <f>IF(E156="","",E156*IF(AND(A156&lt;&gt;"",Settings!$C$10&lt;&gt;"",YEAR(A156)=Settings!$C$5,MONTH(A156)&gt;=Settings!$C$10),Settings!$C$9,Settings!$C$6))</f>
        <v/>
      </c>
      <c r="G156" s="48" t="str">
        <f t="shared" si="2"/>
        <v/>
      </c>
    </row>
    <row r="157" spans="1:7" ht="16" x14ac:dyDescent="0.2">
      <c r="A157" s="50"/>
      <c r="B157" s="47"/>
      <c r="C157" s="47"/>
      <c r="D157" s="47"/>
      <c r="E157" s="47"/>
      <c r="F157" s="52" t="str">
        <f>IF(E157="","",E157*IF(AND(A157&lt;&gt;"",Settings!$C$10&lt;&gt;"",YEAR(A157)=Settings!$C$5,MONTH(A157)&gt;=Settings!$C$10),Settings!$C$9,Settings!$C$6))</f>
        <v/>
      </c>
      <c r="G157" s="48" t="str">
        <f t="shared" si="2"/>
        <v/>
      </c>
    </row>
    <row r="158" spans="1:7" ht="16" x14ac:dyDescent="0.2">
      <c r="A158" s="50"/>
      <c r="B158" s="47"/>
      <c r="C158" s="47"/>
      <c r="D158" s="47"/>
      <c r="E158" s="47"/>
      <c r="F158" s="52" t="str">
        <f>IF(E158="","",E158*IF(AND(A158&lt;&gt;"",Settings!$C$10&lt;&gt;"",YEAR(A158)=Settings!$C$5,MONTH(A158)&gt;=Settings!$C$10),Settings!$C$9,Settings!$C$6))</f>
        <v/>
      </c>
      <c r="G158" s="48" t="str">
        <f t="shared" si="2"/>
        <v/>
      </c>
    </row>
    <row r="159" spans="1:7" ht="16" x14ac:dyDescent="0.2">
      <c r="A159" s="50"/>
      <c r="B159" s="47"/>
      <c r="C159" s="47"/>
      <c r="D159" s="47"/>
      <c r="E159" s="47"/>
      <c r="F159" s="52" t="str">
        <f>IF(E159="","",E159*IF(AND(A159&lt;&gt;"",Settings!$C$10&lt;&gt;"",YEAR(A159)=Settings!$C$5,MONTH(A159)&gt;=Settings!$C$10),Settings!$C$9,Settings!$C$6))</f>
        <v/>
      </c>
      <c r="G159" s="48" t="str">
        <f t="shared" si="2"/>
        <v/>
      </c>
    </row>
    <row r="160" spans="1:7" ht="16" x14ac:dyDescent="0.2">
      <c r="A160" s="50"/>
      <c r="B160" s="47"/>
      <c r="C160" s="47"/>
      <c r="D160" s="47"/>
      <c r="E160" s="47"/>
      <c r="F160" s="52" t="str">
        <f>IF(E160="","",E160*IF(AND(A160&lt;&gt;"",Settings!$C$10&lt;&gt;"",YEAR(A160)=Settings!$C$5,MONTH(A160)&gt;=Settings!$C$10),Settings!$C$9,Settings!$C$6))</f>
        <v/>
      </c>
      <c r="G160" s="48" t="str">
        <f t="shared" si="2"/>
        <v/>
      </c>
    </row>
    <row r="161" spans="1:7" ht="16" x14ac:dyDescent="0.2">
      <c r="A161" s="50"/>
      <c r="B161" s="47"/>
      <c r="C161" s="47"/>
      <c r="D161" s="47"/>
      <c r="E161" s="47"/>
      <c r="F161" s="52" t="str">
        <f>IF(E161="","",E161*IF(AND(A161&lt;&gt;"",Settings!$C$10&lt;&gt;"",YEAR(A161)=Settings!$C$5,MONTH(A161)&gt;=Settings!$C$10),Settings!$C$9,Settings!$C$6))</f>
        <v/>
      </c>
      <c r="G161" s="48" t="str">
        <f t="shared" si="2"/>
        <v/>
      </c>
    </row>
    <row r="162" spans="1:7" ht="16" x14ac:dyDescent="0.2">
      <c r="A162" s="50"/>
      <c r="B162" s="47"/>
      <c r="C162" s="47"/>
      <c r="D162" s="47"/>
      <c r="E162" s="47"/>
      <c r="F162" s="52" t="str">
        <f>IF(E162="","",E162*IF(AND(A162&lt;&gt;"",Settings!$C$10&lt;&gt;"",YEAR(A162)=Settings!$C$5,MONTH(A162)&gt;=Settings!$C$10),Settings!$C$9,Settings!$C$6))</f>
        <v/>
      </c>
      <c r="G162" s="48" t="str">
        <f t="shared" si="2"/>
        <v/>
      </c>
    </row>
    <row r="163" spans="1:7" ht="16" x14ac:dyDescent="0.2">
      <c r="A163" s="50"/>
      <c r="B163" s="47"/>
      <c r="C163" s="47"/>
      <c r="D163" s="47"/>
      <c r="E163" s="47"/>
      <c r="F163" s="52" t="str">
        <f>IF(E163="","",E163*IF(AND(A163&lt;&gt;"",Settings!$C$10&lt;&gt;"",YEAR(A163)=Settings!$C$5,MONTH(A163)&gt;=Settings!$C$10),Settings!$C$9,Settings!$C$6))</f>
        <v/>
      </c>
      <c r="G163" s="48" t="str">
        <f t="shared" si="2"/>
        <v/>
      </c>
    </row>
    <row r="164" spans="1:7" ht="16" x14ac:dyDescent="0.2">
      <c r="A164" s="50"/>
      <c r="B164" s="47"/>
      <c r="C164" s="47"/>
      <c r="D164" s="47"/>
      <c r="E164" s="47"/>
      <c r="F164" s="52" t="str">
        <f>IF(E164="","",E164*IF(AND(A164&lt;&gt;"",Settings!$C$10&lt;&gt;"",YEAR(A164)=Settings!$C$5,MONTH(A164)&gt;=Settings!$C$10),Settings!$C$9,Settings!$C$6))</f>
        <v/>
      </c>
      <c r="G164" s="48" t="str">
        <f t="shared" si="2"/>
        <v/>
      </c>
    </row>
    <row r="165" spans="1:7" ht="16" x14ac:dyDescent="0.2">
      <c r="A165" s="50"/>
      <c r="B165" s="47"/>
      <c r="C165" s="47"/>
      <c r="D165" s="47"/>
      <c r="E165" s="47"/>
      <c r="F165" s="52" t="str">
        <f>IF(E165="","",E165*IF(AND(A165&lt;&gt;"",Settings!$C$10&lt;&gt;"",YEAR(A165)=Settings!$C$5,MONTH(A165)&gt;=Settings!$C$10),Settings!$C$9,Settings!$C$6))</f>
        <v/>
      </c>
      <c r="G165" s="48" t="str">
        <f t="shared" si="2"/>
        <v/>
      </c>
    </row>
    <row r="166" spans="1:7" ht="16" x14ac:dyDescent="0.2">
      <c r="A166" s="50"/>
      <c r="B166" s="47"/>
      <c r="C166" s="47"/>
      <c r="D166" s="47"/>
      <c r="E166" s="47"/>
      <c r="F166" s="52" t="str">
        <f>IF(E166="","",E166*IF(AND(A166&lt;&gt;"",Settings!$C$10&lt;&gt;"",YEAR(A166)=Settings!$C$5,MONTH(A166)&gt;=Settings!$C$10),Settings!$C$9,Settings!$C$6))</f>
        <v/>
      </c>
      <c r="G166" s="48" t="str">
        <f t="shared" si="2"/>
        <v/>
      </c>
    </row>
    <row r="167" spans="1:7" ht="16" x14ac:dyDescent="0.2">
      <c r="A167" s="50"/>
      <c r="B167" s="47"/>
      <c r="C167" s="47"/>
      <c r="D167" s="47"/>
      <c r="E167" s="47"/>
      <c r="F167" s="52" t="str">
        <f>IF(E167="","",E167*IF(AND(A167&lt;&gt;"",Settings!$C$10&lt;&gt;"",YEAR(A167)=Settings!$C$5,MONTH(A167)&gt;=Settings!$C$10),Settings!$C$9,Settings!$C$6))</f>
        <v/>
      </c>
      <c r="G167" s="48" t="str">
        <f t="shared" si="2"/>
        <v/>
      </c>
    </row>
    <row r="168" spans="1:7" ht="16" x14ac:dyDescent="0.2">
      <c r="A168" s="50"/>
      <c r="B168" s="47"/>
      <c r="C168" s="47"/>
      <c r="D168" s="47"/>
      <c r="E168" s="47"/>
      <c r="F168" s="52" t="str">
        <f>IF(E168="","",E168*IF(AND(A168&lt;&gt;"",Settings!$C$10&lt;&gt;"",YEAR(A168)=Settings!$C$5,MONTH(A168)&gt;=Settings!$C$10),Settings!$C$9,Settings!$C$6))</f>
        <v/>
      </c>
      <c r="G168" s="48" t="str">
        <f t="shared" si="2"/>
        <v/>
      </c>
    </row>
    <row r="169" spans="1:7" ht="16" x14ac:dyDescent="0.2">
      <c r="A169" s="50"/>
      <c r="B169" s="47"/>
      <c r="C169" s="47"/>
      <c r="D169" s="47"/>
      <c r="E169" s="47"/>
      <c r="F169" s="52" t="str">
        <f>IF(E169="","",E169*IF(AND(A169&lt;&gt;"",Settings!$C$10&lt;&gt;"",YEAR(A169)=Settings!$C$5,MONTH(A169)&gt;=Settings!$C$10),Settings!$C$9,Settings!$C$6))</f>
        <v/>
      </c>
      <c r="G169" s="48" t="str">
        <f t="shared" si="2"/>
        <v/>
      </c>
    </row>
    <row r="170" spans="1:7" ht="16" x14ac:dyDescent="0.2">
      <c r="A170" s="50"/>
      <c r="B170" s="47"/>
      <c r="C170" s="47"/>
      <c r="D170" s="47"/>
      <c r="E170" s="47"/>
      <c r="F170" s="52" t="str">
        <f>IF(E170="","",E170*IF(AND(A170&lt;&gt;"",Settings!$C$10&lt;&gt;"",YEAR(A170)=Settings!$C$5,MONTH(A170)&gt;=Settings!$C$10),Settings!$C$9,Settings!$C$6))</f>
        <v/>
      </c>
      <c r="G170" s="48" t="str">
        <f t="shared" si="2"/>
        <v/>
      </c>
    </row>
    <row r="171" spans="1:7" ht="16" x14ac:dyDescent="0.2">
      <c r="A171" s="50"/>
      <c r="B171" s="47"/>
      <c r="C171" s="47"/>
      <c r="D171" s="47"/>
      <c r="E171" s="47"/>
      <c r="F171" s="52" t="str">
        <f>IF(E171="","",E171*IF(AND(A171&lt;&gt;"",Settings!$C$10&lt;&gt;"",YEAR(A171)=Settings!$C$5,MONTH(A171)&gt;=Settings!$C$10),Settings!$C$9,Settings!$C$6))</f>
        <v/>
      </c>
      <c r="G171" s="48" t="str">
        <f t="shared" si="2"/>
        <v/>
      </c>
    </row>
    <row r="172" spans="1:7" ht="16" x14ac:dyDescent="0.2">
      <c r="A172" s="50"/>
      <c r="B172" s="47"/>
      <c r="C172" s="47"/>
      <c r="D172" s="47"/>
      <c r="E172" s="47"/>
      <c r="F172" s="52" t="str">
        <f>IF(E172="","",E172*IF(AND(A172&lt;&gt;"",Settings!$C$10&lt;&gt;"",YEAR(A172)=Settings!$C$5,MONTH(A172)&gt;=Settings!$C$10),Settings!$C$9,Settings!$C$6))</f>
        <v/>
      </c>
      <c r="G172" s="48" t="str">
        <f t="shared" si="2"/>
        <v/>
      </c>
    </row>
    <row r="173" spans="1:7" ht="16" x14ac:dyDescent="0.2">
      <c r="A173" s="50"/>
      <c r="B173" s="47"/>
      <c r="C173" s="47"/>
      <c r="D173" s="47"/>
      <c r="E173" s="47"/>
      <c r="F173" s="52" t="str">
        <f>IF(E173="","",E173*IF(AND(A173&lt;&gt;"",Settings!$C$10&lt;&gt;"",YEAR(A173)=Settings!$C$5,MONTH(A173)&gt;=Settings!$C$10),Settings!$C$9,Settings!$C$6))</f>
        <v/>
      </c>
      <c r="G173" s="48" t="str">
        <f t="shared" si="2"/>
        <v/>
      </c>
    </row>
    <row r="174" spans="1:7" ht="16" x14ac:dyDescent="0.2">
      <c r="A174" s="50"/>
      <c r="B174" s="47"/>
      <c r="C174" s="47"/>
      <c r="D174" s="47"/>
      <c r="E174" s="47"/>
      <c r="F174" s="52" t="str">
        <f>IF(E174="","",E174*IF(AND(A174&lt;&gt;"",Settings!$C$10&lt;&gt;"",YEAR(A174)=Settings!$C$5,MONTH(A174)&gt;=Settings!$C$10),Settings!$C$9,Settings!$C$6))</f>
        <v/>
      </c>
      <c r="G174" s="48" t="str">
        <f t="shared" si="2"/>
        <v/>
      </c>
    </row>
    <row r="175" spans="1:7" ht="16" x14ac:dyDescent="0.2">
      <c r="A175" s="50"/>
      <c r="B175" s="47"/>
      <c r="C175" s="47"/>
      <c r="D175" s="47"/>
      <c r="E175" s="47"/>
      <c r="F175" s="52" t="str">
        <f>IF(E175="","",E175*IF(AND(A175&lt;&gt;"",Settings!$C$10&lt;&gt;"",YEAR(A175)=Settings!$C$5,MONTH(A175)&gt;=Settings!$C$10),Settings!$C$9,Settings!$C$6))</f>
        <v/>
      </c>
      <c r="G175" s="48" t="str">
        <f t="shared" si="2"/>
        <v/>
      </c>
    </row>
    <row r="176" spans="1:7" ht="16" x14ac:dyDescent="0.2">
      <c r="A176" s="50"/>
      <c r="B176" s="47"/>
      <c r="C176" s="47"/>
      <c r="D176" s="47"/>
      <c r="E176" s="47"/>
      <c r="F176" s="52" t="str">
        <f>IF(E176="","",E176*IF(AND(A176&lt;&gt;"",Settings!$C$10&lt;&gt;"",YEAR(A176)=Settings!$C$5,MONTH(A176)&gt;=Settings!$C$10),Settings!$C$9,Settings!$C$6))</f>
        <v/>
      </c>
      <c r="G176" s="48" t="str">
        <f t="shared" si="2"/>
        <v/>
      </c>
    </row>
    <row r="177" spans="1:7" ht="16" x14ac:dyDescent="0.2">
      <c r="A177" s="50"/>
      <c r="B177" s="47"/>
      <c r="C177" s="47"/>
      <c r="D177" s="47"/>
      <c r="E177" s="47"/>
      <c r="F177" s="52" t="str">
        <f>IF(E177="","",E177*IF(AND(A177&lt;&gt;"",Settings!$C$10&lt;&gt;"",YEAR(A177)=Settings!$C$5,MONTH(A177)&gt;=Settings!$C$10),Settings!$C$9,Settings!$C$6))</f>
        <v/>
      </c>
      <c r="G177" s="48" t="str">
        <f t="shared" si="2"/>
        <v/>
      </c>
    </row>
    <row r="178" spans="1:7" ht="16" x14ac:dyDescent="0.2">
      <c r="A178" s="50"/>
      <c r="B178" s="47"/>
      <c r="C178" s="47"/>
      <c r="D178" s="47"/>
      <c r="E178" s="47"/>
      <c r="F178" s="52" t="str">
        <f>IF(E178="","",E178*IF(AND(A178&lt;&gt;"",Settings!$C$10&lt;&gt;"",YEAR(A178)=Settings!$C$5,MONTH(A178)&gt;=Settings!$C$10),Settings!$C$9,Settings!$C$6))</f>
        <v/>
      </c>
      <c r="G178" s="48" t="str">
        <f t="shared" si="2"/>
        <v/>
      </c>
    </row>
    <row r="179" spans="1:7" ht="16" x14ac:dyDescent="0.2">
      <c r="A179" s="50"/>
      <c r="B179" s="47"/>
      <c r="C179" s="47"/>
      <c r="D179" s="47"/>
      <c r="E179" s="47"/>
      <c r="F179" s="52" t="str">
        <f>IF(E179="","",E179*IF(AND(A179&lt;&gt;"",Settings!$C$10&lt;&gt;"",YEAR(A179)=Settings!$C$5,MONTH(A179)&gt;=Settings!$C$10),Settings!$C$9,Settings!$C$6))</f>
        <v/>
      </c>
      <c r="G179" s="48" t="str">
        <f t="shared" si="2"/>
        <v/>
      </c>
    </row>
    <row r="180" spans="1:7" ht="16" x14ac:dyDescent="0.2">
      <c r="A180" s="50"/>
      <c r="B180" s="47"/>
      <c r="C180" s="47"/>
      <c r="D180" s="47"/>
      <c r="E180" s="47"/>
      <c r="F180" s="52" t="str">
        <f>IF(E180="","",E180*IF(AND(A180&lt;&gt;"",Settings!$C$10&lt;&gt;"",YEAR(A180)=Settings!$C$5,MONTH(A180)&gt;=Settings!$C$10),Settings!$C$9,Settings!$C$6))</f>
        <v/>
      </c>
      <c r="G180" s="48" t="str">
        <f t="shared" si="2"/>
        <v/>
      </c>
    </row>
    <row r="181" spans="1:7" ht="16" x14ac:dyDescent="0.2">
      <c r="A181" s="50"/>
      <c r="B181" s="47"/>
      <c r="C181" s="47"/>
      <c r="D181" s="47"/>
      <c r="E181" s="47"/>
      <c r="F181" s="52" t="str">
        <f>IF(E181="","",E181*IF(AND(A181&lt;&gt;"",Settings!$C$10&lt;&gt;"",YEAR(A181)=Settings!$C$5,MONTH(A181)&gt;=Settings!$C$10),Settings!$C$9,Settings!$C$6))</f>
        <v/>
      </c>
      <c r="G181" s="48" t="str">
        <f t="shared" si="2"/>
        <v/>
      </c>
    </row>
    <row r="182" spans="1:7" ht="16" x14ac:dyDescent="0.2">
      <c r="A182" s="50"/>
      <c r="B182" s="47"/>
      <c r="C182" s="47"/>
      <c r="D182" s="47"/>
      <c r="E182" s="47"/>
      <c r="F182" s="52" t="str">
        <f>IF(E182="","",E182*IF(AND(A182&lt;&gt;"",Settings!$C$10&lt;&gt;"",YEAR(A182)=Settings!$C$5,MONTH(A182)&gt;=Settings!$C$10),Settings!$C$9,Settings!$C$6))</f>
        <v/>
      </c>
      <c r="G182" s="48" t="str">
        <f t="shared" si="2"/>
        <v/>
      </c>
    </row>
    <row r="183" spans="1:7" ht="16" x14ac:dyDescent="0.2">
      <c r="A183" s="50"/>
      <c r="B183" s="47"/>
      <c r="C183" s="47"/>
      <c r="D183" s="47"/>
      <c r="E183" s="47"/>
      <c r="F183" s="52" t="str">
        <f>IF(E183="","",E183*IF(AND(A183&lt;&gt;"",Settings!$C$10&lt;&gt;"",YEAR(A183)=Settings!$C$5,MONTH(A183)&gt;=Settings!$C$10),Settings!$C$9,Settings!$C$6))</f>
        <v/>
      </c>
      <c r="G183" s="48" t="str">
        <f t="shared" si="2"/>
        <v/>
      </c>
    </row>
    <row r="184" spans="1:7" ht="16" x14ac:dyDescent="0.2">
      <c r="A184" s="50"/>
      <c r="B184" s="47"/>
      <c r="C184" s="47"/>
      <c r="D184" s="47"/>
      <c r="E184" s="47"/>
      <c r="F184" s="52" t="str">
        <f>IF(E184="","",E184*IF(AND(A184&lt;&gt;"",Settings!$C$10&lt;&gt;"",YEAR(A184)=Settings!$C$5,MONTH(A184)&gt;=Settings!$C$10),Settings!$C$9,Settings!$C$6))</f>
        <v/>
      </c>
      <c r="G184" s="48" t="str">
        <f t="shared" si="2"/>
        <v/>
      </c>
    </row>
    <row r="185" spans="1:7" ht="16" x14ac:dyDescent="0.2">
      <c r="A185" s="50"/>
      <c r="B185" s="47"/>
      <c r="C185" s="47"/>
      <c r="D185" s="47"/>
      <c r="E185" s="47"/>
      <c r="F185" s="52" t="str">
        <f>IF(E185="","",E185*IF(AND(A185&lt;&gt;"",Settings!$C$10&lt;&gt;"",YEAR(A185)=Settings!$C$5,MONTH(A185)&gt;=Settings!$C$10),Settings!$C$9,Settings!$C$6))</f>
        <v/>
      </c>
      <c r="G185" s="48" t="str">
        <f t="shared" si="2"/>
        <v/>
      </c>
    </row>
    <row r="186" spans="1:7" ht="16" x14ac:dyDescent="0.2">
      <c r="A186" s="50"/>
      <c r="B186" s="47"/>
      <c r="C186" s="47"/>
      <c r="D186" s="47"/>
      <c r="E186" s="47"/>
      <c r="F186" s="52" t="str">
        <f>IF(E186="","",E186*IF(AND(A186&lt;&gt;"",Settings!$C$10&lt;&gt;"",YEAR(A186)=Settings!$C$5,MONTH(A186)&gt;=Settings!$C$10),Settings!$C$9,Settings!$C$6))</f>
        <v/>
      </c>
      <c r="G186" s="48" t="str">
        <f t="shared" si="2"/>
        <v/>
      </c>
    </row>
    <row r="187" spans="1:7" ht="16" x14ac:dyDescent="0.2">
      <c r="A187" s="50"/>
      <c r="B187" s="47"/>
      <c r="C187" s="47"/>
      <c r="D187" s="47"/>
      <c r="E187" s="47"/>
      <c r="F187" s="52" t="str">
        <f>IF(E187="","",E187*IF(AND(A187&lt;&gt;"",Settings!$C$10&lt;&gt;"",YEAR(A187)=Settings!$C$5,MONTH(A187)&gt;=Settings!$C$10),Settings!$C$9,Settings!$C$6))</f>
        <v/>
      </c>
      <c r="G187" s="48" t="str">
        <f t="shared" si="2"/>
        <v/>
      </c>
    </row>
    <row r="188" spans="1:7" ht="16" x14ac:dyDescent="0.2">
      <c r="A188" s="50"/>
      <c r="B188" s="47"/>
      <c r="C188" s="47"/>
      <c r="D188" s="47"/>
      <c r="E188" s="47"/>
      <c r="F188" s="52" t="str">
        <f>IF(E188="","",E188*IF(AND(A188&lt;&gt;"",Settings!$C$10&lt;&gt;"",YEAR(A188)=Settings!$C$5,MONTH(A188)&gt;=Settings!$C$10),Settings!$C$9,Settings!$C$6))</f>
        <v/>
      </c>
      <c r="G188" s="48" t="str">
        <f t="shared" si="2"/>
        <v/>
      </c>
    </row>
    <row r="189" spans="1:7" ht="16" x14ac:dyDescent="0.2">
      <c r="A189" s="50"/>
      <c r="B189" s="47"/>
      <c r="C189" s="47"/>
      <c r="D189" s="47"/>
      <c r="E189" s="47"/>
      <c r="F189" s="52" t="str">
        <f>IF(E189="","",E189*IF(AND(A189&lt;&gt;"",Settings!$C$10&lt;&gt;"",YEAR(A189)=Settings!$C$5,MONTH(A189)&gt;=Settings!$C$10),Settings!$C$9,Settings!$C$6))</f>
        <v/>
      </c>
      <c r="G189" s="48" t="str">
        <f t="shared" si="2"/>
        <v/>
      </c>
    </row>
    <row r="190" spans="1:7" ht="16" x14ac:dyDescent="0.2">
      <c r="A190" s="50"/>
      <c r="B190" s="47"/>
      <c r="C190" s="47"/>
      <c r="D190" s="47"/>
      <c r="E190" s="47"/>
      <c r="F190" s="52" t="str">
        <f>IF(E190="","",E190*IF(AND(A190&lt;&gt;"",Settings!$C$10&lt;&gt;"",YEAR(A190)=Settings!$C$5,MONTH(A190)&gt;=Settings!$C$10),Settings!$C$9,Settings!$C$6))</f>
        <v/>
      </c>
      <c r="G190" s="48" t="str">
        <f t="shared" si="2"/>
        <v/>
      </c>
    </row>
    <row r="191" spans="1:7" ht="16" x14ac:dyDescent="0.2">
      <c r="A191" s="50"/>
      <c r="B191" s="47"/>
      <c r="C191" s="47"/>
      <c r="D191" s="47"/>
      <c r="E191" s="47"/>
      <c r="F191" s="52" t="str">
        <f>IF(E191="","",E191*IF(AND(A191&lt;&gt;"",Settings!$C$10&lt;&gt;"",YEAR(A191)=Settings!$C$5,MONTH(A191)&gt;=Settings!$C$10),Settings!$C$9,Settings!$C$6))</f>
        <v/>
      </c>
      <c r="G191" s="48" t="str">
        <f t="shared" si="2"/>
        <v/>
      </c>
    </row>
    <row r="192" spans="1:7" ht="16" x14ac:dyDescent="0.2">
      <c r="A192" s="50"/>
      <c r="B192" s="47"/>
      <c r="C192" s="47"/>
      <c r="D192" s="47"/>
      <c r="E192" s="47"/>
      <c r="F192" s="52" t="str">
        <f>IF(E192="","",E192*IF(AND(A192&lt;&gt;"",Settings!$C$10&lt;&gt;"",YEAR(A192)=Settings!$C$5,MONTH(A192)&gt;=Settings!$C$10),Settings!$C$9,Settings!$C$6))</f>
        <v/>
      </c>
      <c r="G192" s="48" t="str">
        <f t="shared" si="2"/>
        <v/>
      </c>
    </row>
    <row r="193" spans="1:7" ht="16" x14ac:dyDescent="0.2">
      <c r="A193" s="50"/>
      <c r="B193" s="47"/>
      <c r="C193" s="47"/>
      <c r="D193" s="47"/>
      <c r="E193" s="47"/>
      <c r="F193" s="52" t="str">
        <f>IF(E193="","",E193*IF(AND(A193&lt;&gt;"",Settings!$C$10&lt;&gt;"",YEAR(A193)=Settings!$C$5,MONTH(A193)&gt;=Settings!$C$10),Settings!$C$9,Settings!$C$6))</f>
        <v/>
      </c>
      <c r="G193" s="48" t="str">
        <f t="shared" si="2"/>
        <v/>
      </c>
    </row>
    <row r="194" spans="1:7" ht="16" x14ac:dyDescent="0.2">
      <c r="A194" s="50"/>
      <c r="B194" s="47"/>
      <c r="C194" s="47"/>
      <c r="D194" s="47"/>
      <c r="E194" s="47"/>
      <c r="F194" s="52" t="str">
        <f>IF(E194="","",E194*IF(AND(A194&lt;&gt;"",Settings!$C$10&lt;&gt;"",YEAR(A194)=Settings!$C$5,MONTH(A194)&gt;=Settings!$C$10),Settings!$C$9,Settings!$C$6))</f>
        <v/>
      </c>
      <c r="G194" s="48" t="str">
        <f t="shared" si="2"/>
        <v/>
      </c>
    </row>
    <row r="195" spans="1:7" ht="16" x14ac:dyDescent="0.2">
      <c r="A195" s="50"/>
      <c r="B195" s="47"/>
      <c r="C195" s="47"/>
      <c r="D195" s="47"/>
      <c r="E195" s="47"/>
      <c r="F195" s="52" t="str">
        <f>IF(E195="","",E195*IF(AND(A195&lt;&gt;"",Settings!$C$10&lt;&gt;"",YEAR(A195)=Settings!$C$5,MONTH(A195)&gt;=Settings!$C$10),Settings!$C$9,Settings!$C$6))</f>
        <v/>
      </c>
      <c r="G195" s="48" t="str">
        <f t="shared" si="2"/>
        <v/>
      </c>
    </row>
    <row r="196" spans="1:7" ht="16" x14ac:dyDescent="0.2">
      <c r="A196" s="50"/>
      <c r="B196" s="47"/>
      <c r="C196" s="47"/>
      <c r="D196" s="47"/>
      <c r="E196" s="47"/>
      <c r="F196" s="52" t="str">
        <f>IF(E196="","",E196*IF(AND(A196&lt;&gt;"",Settings!$C$10&lt;&gt;"",YEAR(A196)=Settings!$C$5,MONTH(A196)&gt;=Settings!$C$10),Settings!$C$9,Settings!$C$6))</f>
        <v/>
      </c>
      <c r="G196" s="48" t="str">
        <f t="shared" si="2"/>
        <v/>
      </c>
    </row>
    <row r="197" spans="1:7" ht="16" x14ac:dyDescent="0.2">
      <c r="A197" s="50"/>
      <c r="B197" s="47"/>
      <c r="C197" s="47"/>
      <c r="D197" s="47"/>
      <c r="E197" s="47"/>
      <c r="F197" s="52" t="str">
        <f>IF(E197="","",E197*IF(AND(A197&lt;&gt;"",Settings!$C$10&lt;&gt;"",YEAR(A197)=Settings!$C$5,MONTH(A197)&gt;=Settings!$C$10),Settings!$C$9,Settings!$C$6))</f>
        <v/>
      </c>
      <c r="G197" s="48" t="str">
        <f t="shared" si="2"/>
        <v/>
      </c>
    </row>
    <row r="198" spans="1:7" ht="16" x14ac:dyDescent="0.2">
      <c r="A198" s="50"/>
      <c r="B198" s="47"/>
      <c r="C198" s="47"/>
      <c r="D198" s="47"/>
      <c r="E198" s="47"/>
      <c r="F198" s="52" t="str">
        <f>IF(E198="","",E198*IF(AND(A198&lt;&gt;"",Settings!$C$10&lt;&gt;"",YEAR(A198)=Settings!$C$5,MONTH(A198)&gt;=Settings!$C$10),Settings!$C$9,Settings!$C$6))</f>
        <v/>
      </c>
      <c r="G198" s="48" t="str">
        <f t="shared" si="2"/>
        <v/>
      </c>
    </row>
    <row r="199" spans="1:7" ht="16" x14ac:dyDescent="0.2">
      <c r="A199" s="50"/>
      <c r="B199" s="47"/>
      <c r="C199" s="47"/>
      <c r="D199" s="47"/>
      <c r="E199" s="47"/>
      <c r="F199" s="52" t="str">
        <f>IF(E199="","",E199*IF(AND(A199&lt;&gt;"",Settings!$C$10&lt;&gt;"",YEAR(A199)=Settings!$C$5,MONTH(A199)&gt;=Settings!$C$10),Settings!$C$9,Settings!$C$6))</f>
        <v/>
      </c>
      <c r="G199" s="48" t="str">
        <f t="shared" ref="G199:G262" si="3">IF(OR(A199="",E199=""),"",YEAR(A199))</f>
        <v/>
      </c>
    </row>
    <row r="200" spans="1:7" ht="16" x14ac:dyDescent="0.2">
      <c r="A200" s="50"/>
      <c r="B200" s="47"/>
      <c r="C200" s="47"/>
      <c r="D200" s="47"/>
      <c r="E200" s="47"/>
      <c r="F200" s="52" t="str">
        <f>IF(E200="","",E200*IF(AND(A200&lt;&gt;"",Settings!$C$10&lt;&gt;"",YEAR(A200)=Settings!$C$5,MONTH(A200)&gt;=Settings!$C$10),Settings!$C$9,Settings!$C$6))</f>
        <v/>
      </c>
      <c r="G200" s="48" t="str">
        <f t="shared" si="3"/>
        <v/>
      </c>
    </row>
    <row r="201" spans="1:7" ht="16" x14ac:dyDescent="0.2">
      <c r="A201" s="50"/>
      <c r="B201" s="47"/>
      <c r="C201" s="47"/>
      <c r="D201" s="47"/>
      <c r="E201" s="47"/>
      <c r="F201" s="52" t="str">
        <f>IF(E201="","",E201*IF(AND(A201&lt;&gt;"",Settings!$C$10&lt;&gt;"",YEAR(A201)=Settings!$C$5,MONTH(A201)&gt;=Settings!$C$10),Settings!$C$9,Settings!$C$6))</f>
        <v/>
      </c>
      <c r="G201" s="48" t="str">
        <f t="shared" si="3"/>
        <v/>
      </c>
    </row>
    <row r="202" spans="1:7" ht="16" x14ac:dyDescent="0.2">
      <c r="A202" s="50"/>
      <c r="B202" s="47"/>
      <c r="C202" s="47"/>
      <c r="D202" s="47"/>
      <c r="E202" s="47"/>
      <c r="F202" s="52" t="str">
        <f>IF(E202="","",E202*IF(AND(A202&lt;&gt;"",Settings!$C$10&lt;&gt;"",YEAR(A202)=Settings!$C$5,MONTH(A202)&gt;=Settings!$C$10),Settings!$C$9,Settings!$C$6))</f>
        <v/>
      </c>
      <c r="G202" s="48" t="str">
        <f t="shared" si="3"/>
        <v/>
      </c>
    </row>
    <row r="203" spans="1:7" ht="16" x14ac:dyDescent="0.2">
      <c r="A203" s="50"/>
      <c r="B203" s="47"/>
      <c r="C203" s="47"/>
      <c r="D203" s="47"/>
      <c r="E203" s="47"/>
      <c r="F203" s="52" t="str">
        <f>IF(E203="","",E203*IF(AND(A203&lt;&gt;"",Settings!$C$10&lt;&gt;"",YEAR(A203)=Settings!$C$5,MONTH(A203)&gt;=Settings!$C$10),Settings!$C$9,Settings!$C$6))</f>
        <v/>
      </c>
      <c r="G203" s="48" t="str">
        <f t="shared" si="3"/>
        <v/>
      </c>
    </row>
    <row r="204" spans="1:7" ht="16" x14ac:dyDescent="0.2">
      <c r="A204" s="50"/>
      <c r="B204" s="47"/>
      <c r="C204" s="47"/>
      <c r="D204" s="47"/>
      <c r="E204" s="47"/>
      <c r="F204" s="52" t="str">
        <f>IF(E204="","",E204*IF(AND(A204&lt;&gt;"",Settings!$C$10&lt;&gt;"",YEAR(A204)=Settings!$C$5,MONTH(A204)&gt;=Settings!$C$10),Settings!$C$9,Settings!$C$6))</f>
        <v/>
      </c>
      <c r="G204" s="48" t="str">
        <f t="shared" si="3"/>
        <v/>
      </c>
    </row>
    <row r="205" spans="1:7" ht="16" x14ac:dyDescent="0.2">
      <c r="A205" s="50"/>
      <c r="B205" s="47"/>
      <c r="C205" s="47"/>
      <c r="D205" s="47"/>
      <c r="E205" s="47"/>
      <c r="F205" s="52" t="str">
        <f>IF(E205="","",E205*IF(AND(A205&lt;&gt;"",Settings!$C$10&lt;&gt;"",YEAR(A205)=Settings!$C$5,MONTH(A205)&gt;=Settings!$C$10),Settings!$C$9,Settings!$C$6))</f>
        <v/>
      </c>
      <c r="G205" s="48" t="str">
        <f t="shared" si="3"/>
        <v/>
      </c>
    </row>
    <row r="206" spans="1:7" ht="16" x14ac:dyDescent="0.2">
      <c r="A206" s="50"/>
      <c r="B206" s="47"/>
      <c r="C206" s="47"/>
      <c r="D206" s="47"/>
      <c r="E206" s="47"/>
      <c r="F206" s="52" t="str">
        <f>IF(E206="","",E206*IF(AND(A206&lt;&gt;"",Settings!$C$10&lt;&gt;"",YEAR(A206)=Settings!$C$5,MONTH(A206)&gt;=Settings!$C$10),Settings!$C$9,Settings!$C$6))</f>
        <v/>
      </c>
      <c r="G206" s="48" t="str">
        <f t="shared" si="3"/>
        <v/>
      </c>
    </row>
    <row r="207" spans="1:7" ht="16" x14ac:dyDescent="0.2">
      <c r="A207" s="50"/>
      <c r="B207" s="47"/>
      <c r="C207" s="47"/>
      <c r="D207" s="47"/>
      <c r="E207" s="47"/>
      <c r="F207" s="52" t="str">
        <f>IF(E207="","",E207*IF(AND(A207&lt;&gt;"",Settings!$C$10&lt;&gt;"",YEAR(A207)=Settings!$C$5,MONTH(A207)&gt;=Settings!$C$10),Settings!$C$9,Settings!$C$6))</f>
        <v/>
      </c>
      <c r="G207" s="48" t="str">
        <f t="shared" si="3"/>
        <v/>
      </c>
    </row>
    <row r="208" spans="1:7" ht="16" x14ac:dyDescent="0.2">
      <c r="A208" s="50"/>
      <c r="B208" s="47"/>
      <c r="C208" s="47"/>
      <c r="D208" s="47"/>
      <c r="E208" s="47"/>
      <c r="F208" s="52" t="str">
        <f>IF(E208="","",E208*IF(AND(A208&lt;&gt;"",Settings!$C$10&lt;&gt;"",YEAR(A208)=Settings!$C$5,MONTH(A208)&gt;=Settings!$C$10),Settings!$C$9,Settings!$C$6))</f>
        <v/>
      </c>
      <c r="G208" s="48" t="str">
        <f t="shared" si="3"/>
        <v/>
      </c>
    </row>
    <row r="209" spans="1:7" ht="16" x14ac:dyDescent="0.2">
      <c r="A209" s="50"/>
      <c r="B209" s="47"/>
      <c r="C209" s="47"/>
      <c r="D209" s="47"/>
      <c r="E209" s="47"/>
      <c r="F209" s="52" t="str">
        <f>IF(E209="","",E209*IF(AND(A209&lt;&gt;"",Settings!$C$10&lt;&gt;"",YEAR(A209)=Settings!$C$5,MONTH(A209)&gt;=Settings!$C$10),Settings!$C$9,Settings!$C$6))</f>
        <v/>
      </c>
      <c r="G209" s="48" t="str">
        <f t="shared" si="3"/>
        <v/>
      </c>
    </row>
    <row r="210" spans="1:7" ht="16" x14ac:dyDescent="0.2">
      <c r="A210" s="50"/>
      <c r="B210" s="47"/>
      <c r="C210" s="47"/>
      <c r="D210" s="47"/>
      <c r="E210" s="47"/>
      <c r="F210" s="52" t="str">
        <f>IF(E210="","",E210*IF(AND(A210&lt;&gt;"",Settings!$C$10&lt;&gt;"",YEAR(A210)=Settings!$C$5,MONTH(A210)&gt;=Settings!$C$10),Settings!$C$9,Settings!$C$6))</f>
        <v/>
      </c>
      <c r="G210" s="48" t="str">
        <f t="shared" si="3"/>
        <v/>
      </c>
    </row>
    <row r="211" spans="1:7" ht="16" x14ac:dyDescent="0.2">
      <c r="A211" s="50"/>
      <c r="B211" s="47"/>
      <c r="C211" s="47"/>
      <c r="D211" s="47"/>
      <c r="E211" s="47"/>
      <c r="F211" s="52" t="str">
        <f>IF(E211="","",E211*IF(AND(A211&lt;&gt;"",Settings!$C$10&lt;&gt;"",YEAR(A211)=Settings!$C$5,MONTH(A211)&gt;=Settings!$C$10),Settings!$C$9,Settings!$C$6))</f>
        <v/>
      </c>
      <c r="G211" s="48" t="str">
        <f t="shared" si="3"/>
        <v/>
      </c>
    </row>
    <row r="212" spans="1:7" ht="16" x14ac:dyDescent="0.2">
      <c r="A212" s="50"/>
      <c r="B212" s="47"/>
      <c r="C212" s="47"/>
      <c r="D212" s="47"/>
      <c r="E212" s="47"/>
      <c r="F212" s="52" t="str">
        <f>IF(E212="","",E212*IF(AND(A212&lt;&gt;"",Settings!$C$10&lt;&gt;"",YEAR(A212)=Settings!$C$5,MONTH(A212)&gt;=Settings!$C$10),Settings!$C$9,Settings!$C$6))</f>
        <v/>
      </c>
      <c r="G212" s="48" t="str">
        <f t="shared" si="3"/>
        <v/>
      </c>
    </row>
    <row r="213" spans="1:7" ht="16" x14ac:dyDescent="0.2">
      <c r="A213" s="50"/>
      <c r="B213" s="47"/>
      <c r="C213" s="47"/>
      <c r="D213" s="47"/>
      <c r="E213" s="47"/>
      <c r="F213" s="52" t="str">
        <f>IF(E213="","",E213*IF(AND(A213&lt;&gt;"",Settings!$C$10&lt;&gt;"",YEAR(A213)=Settings!$C$5,MONTH(A213)&gt;=Settings!$C$10),Settings!$C$9,Settings!$C$6))</f>
        <v/>
      </c>
      <c r="G213" s="48" t="str">
        <f t="shared" si="3"/>
        <v/>
      </c>
    </row>
    <row r="214" spans="1:7" ht="16" x14ac:dyDescent="0.2">
      <c r="A214" s="50"/>
      <c r="B214" s="47"/>
      <c r="C214" s="47"/>
      <c r="D214" s="47"/>
      <c r="E214" s="47"/>
      <c r="F214" s="52" t="str">
        <f>IF(E214="","",E214*IF(AND(A214&lt;&gt;"",Settings!$C$10&lt;&gt;"",YEAR(A214)=Settings!$C$5,MONTH(A214)&gt;=Settings!$C$10),Settings!$C$9,Settings!$C$6))</f>
        <v/>
      </c>
      <c r="G214" s="48" t="str">
        <f t="shared" si="3"/>
        <v/>
      </c>
    </row>
    <row r="215" spans="1:7" ht="16" x14ac:dyDescent="0.2">
      <c r="A215" s="50"/>
      <c r="B215" s="47"/>
      <c r="C215" s="47"/>
      <c r="D215" s="47"/>
      <c r="E215" s="47"/>
      <c r="F215" s="52" t="str">
        <f>IF(E215="","",E215*IF(AND(A215&lt;&gt;"",Settings!$C$10&lt;&gt;"",YEAR(A215)=Settings!$C$5,MONTH(A215)&gt;=Settings!$C$10),Settings!$C$9,Settings!$C$6))</f>
        <v/>
      </c>
      <c r="G215" s="48" t="str">
        <f t="shared" si="3"/>
        <v/>
      </c>
    </row>
    <row r="216" spans="1:7" ht="16" x14ac:dyDescent="0.2">
      <c r="A216" s="50"/>
      <c r="B216" s="47"/>
      <c r="C216" s="47"/>
      <c r="D216" s="47"/>
      <c r="E216" s="47"/>
      <c r="F216" s="52" t="str">
        <f>IF(E216="","",E216*IF(AND(A216&lt;&gt;"",Settings!$C$10&lt;&gt;"",YEAR(A216)=Settings!$C$5,MONTH(A216)&gt;=Settings!$C$10),Settings!$C$9,Settings!$C$6))</f>
        <v/>
      </c>
      <c r="G216" s="48" t="str">
        <f t="shared" si="3"/>
        <v/>
      </c>
    </row>
    <row r="217" spans="1:7" ht="16" x14ac:dyDescent="0.2">
      <c r="A217" s="50"/>
      <c r="B217" s="47"/>
      <c r="C217" s="47"/>
      <c r="D217" s="47"/>
      <c r="E217" s="47"/>
      <c r="F217" s="52" t="str">
        <f>IF(E217="","",E217*IF(AND(A217&lt;&gt;"",Settings!$C$10&lt;&gt;"",YEAR(A217)=Settings!$C$5,MONTH(A217)&gt;=Settings!$C$10),Settings!$C$9,Settings!$C$6))</f>
        <v/>
      </c>
      <c r="G217" s="48" t="str">
        <f t="shared" si="3"/>
        <v/>
      </c>
    </row>
    <row r="218" spans="1:7" ht="16" x14ac:dyDescent="0.2">
      <c r="A218" s="50"/>
      <c r="B218" s="47"/>
      <c r="C218" s="47"/>
      <c r="D218" s="47"/>
      <c r="E218" s="47"/>
      <c r="F218" s="52" t="str">
        <f>IF(E218="","",E218*IF(AND(A218&lt;&gt;"",Settings!$C$10&lt;&gt;"",YEAR(A218)=Settings!$C$5,MONTH(A218)&gt;=Settings!$C$10),Settings!$C$9,Settings!$C$6))</f>
        <v/>
      </c>
      <c r="G218" s="48" t="str">
        <f t="shared" si="3"/>
        <v/>
      </c>
    </row>
    <row r="219" spans="1:7" ht="16" x14ac:dyDescent="0.2">
      <c r="A219" s="50"/>
      <c r="B219" s="47"/>
      <c r="C219" s="47"/>
      <c r="D219" s="47"/>
      <c r="E219" s="47"/>
      <c r="F219" s="52" t="str">
        <f>IF(E219="","",E219*IF(AND(A219&lt;&gt;"",Settings!$C$10&lt;&gt;"",YEAR(A219)=Settings!$C$5,MONTH(A219)&gt;=Settings!$C$10),Settings!$C$9,Settings!$C$6))</f>
        <v/>
      </c>
      <c r="G219" s="48" t="str">
        <f t="shared" si="3"/>
        <v/>
      </c>
    </row>
    <row r="220" spans="1:7" ht="16" x14ac:dyDescent="0.2">
      <c r="A220" s="50"/>
      <c r="B220" s="47"/>
      <c r="C220" s="47"/>
      <c r="D220" s="47"/>
      <c r="E220" s="47"/>
      <c r="F220" s="52" t="str">
        <f>IF(E220="","",E220*IF(AND(A220&lt;&gt;"",Settings!$C$10&lt;&gt;"",YEAR(A220)=Settings!$C$5,MONTH(A220)&gt;=Settings!$C$10),Settings!$C$9,Settings!$C$6))</f>
        <v/>
      </c>
      <c r="G220" s="48" t="str">
        <f t="shared" si="3"/>
        <v/>
      </c>
    </row>
    <row r="221" spans="1:7" ht="16" x14ac:dyDescent="0.2">
      <c r="A221" s="50"/>
      <c r="B221" s="47"/>
      <c r="C221" s="47"/>
      <c r="D221" s="47"/>
      <c r="E221" s="47"/>
      <c r="F221" s="52" t="str">
        <f>IF(E221="","",E221*IF(AND(A221&lt;&gt;"",Settings!$C$10&lt;&gt;"",YEAR(A221)=Settings!$C$5,MONTH(A221)&gt;=Settings!$C$10),Settings!$C$9,Settings!$C$6))</f>
        <v/>
      </c>
      <c r="G221" s="48" t="str">
        <f t="shared" si="3"/>
        <v/>
      </c>
    </row>
    <row r="222" spans="1:7" ht="16" x14ac:dyDescent="0.2">
      <c r="A222" s="50"/>
      <c r="B222" s="47"/>
      <c r="C222" s="47"/>
      <c r="D222" s="47"/>
      <c r="E222" s="47"/>
      <c r="F222" s="52" t="str">
        <f>IF(E222="","",E222*IF(AND(A222&lt;&gt;"",Settings!$C$10&lt;&gt;"",YEAR(A222)=Settings!$C$5,MONTH(A222)&gt;=Settings!$C$10),Settings!$C$9,Settings!$C$6))</f>
        <v/>
      </c>
      <c r="G222" s="48" t="str">
        <f t="shared" si="3"/>
        <v/>
      </c>
    </row>
    <row r="223" spans="1:7" ht="16" x14ac:dyDescent="0.2">
      <c r="A223" s="50"/>
      <c r="B223" s="47"/>
      <c r="C223" s="47"/>
      <c r="D223" s="47"/>
      <c r="E223" s="47"/>
      <c r="F223" s="52" t="str">
        <f>IF(E223="","",E223*IF(AND(A223&lt;&gt;"",Settings!$C$10&lt;&gt;"",YEAR(A223)=Settings!$C$5,MONTH(A223)&gt;=Settings!$C$10),Settings!$C$9,Settings!$C$6))</f>
        <v/>
      </c>
      <c r="G223" s="48" t="str">
        <f t="shared" si="3"/>
        <v/>
      </c>
    </row>
    <row r="224" spans="1:7" ht="16" x14ac:dyDescent="0.2">
      <c r="A224" s="50"/>
      <c r="B224" s="47"/>
      <c r="C224" s="47"/>
      <c r="D224" s="47"/>
      <c r="E224" s="47"/>
      <c r="F224" s="52" t="str">
        <f>IF(E224="","",E224*IF(AND(A224&lt;&gt;"",Settings!$C$10&lt;&gt;"",YEAR(A224)=Settings!$C$5,MONTH(A224)&gt;=Settings!$C$10),Settings!$C$9,Settings!$C$6))</f>
        <v/>
      </c>
      <c r="G224" s="48" t="str">
        <f t="shared" si="3"/>
        <v/>
      </c>
    </row>
    <row r="225" spans="1:7" ht="16" x14ac:dyDescent="0.2">
      <c r="A225" s="50"/>
      <c r="B225" s="47"/>
      <c r="C225" s="47"/>
      <c r="D225" s="47"/>
      <c r="E225" s="47"/>
      <c r="F225" s="52" t="str">
        <f>IF(E225="","",E225*IF(AND(A225&lt;&gt;"",Settings!$C$10&lt;&gt;"",YEAR(A225)=Settings!$C$5,MONTH(A225)&gt;=Settings!$C$10),Settings!$C$9,Settings!$C$6))</f>
        <v/>
      </c>
      <c r="G225" s="48" t="str">
        <f t="shared" si="3"/>
        <v/>
      </c>
    </row>
    <row r="226" spans="1:7" ht="16" x14ac:dyDescent="0.2">
      <c r="A226" s="50"/>
      <c r="B226" s="47"/>
      <c r="C226" s="47"/>
      <c r="D226" s="47"/>
      <c r="E226" s="47"/>
      <c r="F226" s="52" t="str">
        <f>IF(E226="","",E226*IF(AND(A226&lt;&gt;"",Settings!$C$10&lt;&gt;"",YEAR(A226)=Settings!$C$5,MONTH(A226)&gt;=Settings!$C$10),Settings!$C$9,Settings!$C$6))</f>
        <v/>
      </c>
      <c r="G226" s="48" t="str">
        <f t="shared" si="3"/>
        <v/>
      </c>
    </row>
    <row r="227" spans="1:7" ht="16" x14ac:dyDescent="0.2">
      <c r="A227" s="50"/>
      <c r="B227" s="47"/>
      <c r="C227" s="47"/>
      <c r="D227" s="47"/>
      <c r="E227" s="47"/>
      <c r="F227" s="52" t="str">
        <f>IF(E227="","",E227*IF(AND(A227&lt;&gt;"",Settings!$C$10&lt;&gt;"",YEAR(A227)=Settings!$C$5,MONTH(A227)&gt;=Settings!$C$10),Settings!$C$9,Settings!$C$6))</f>
        <v/>
      </c>
      <c r="G227" s="48" t="str">
        <f t="shared" si="3"/>
        <v/>
      </c>
    </row>
    <row r="228" spans="1:7" ht="16" x14ac:dyDescent="0.2">
      <c r="A228" s="50"/>
      <c r="B228" s="47"/>
      <c r="C228" s="47"/>
      <c r="D228" s="47"/>
      <c r="E228" s="47"/>
      <c r="F228" s="52" t="str">
        <f>IF(E228="","",E228*IF(AND(A228&lt;&gt;"",Settings!$C$10&lt;&gt;"",YEAR(A228)=Settings!$C$5,MONTH(A228)&gt;=Settings!$C$10),Settings!$C$9,Settings!$C$6))</f>
        <v/>
      </c>
      <c r="G228" s="48" t="str">
        <f t="shared" si="3"/>
        <v/>
      </c>
    </row>
    <row r="229" spans="1:7" ht="16" x14ac:dyDescent="0.2">
      <c r="A229" s="50"/>
      <c r="B229" s="47"/>
      <c r="C229" s="47"/>
      <c r="D229" s="47"/>
      <c r="E229" s="47"/>
      <c r="F229" s="52" t="str">
        <f>IF(E229="","",E229*IF(AND(A229&lt;&gt;"",Settings!$C$10&lt;&gt;"",YEAR(A229)=Settings!$C$5,MONTH(A229)&gt;=Settings!$C$10),Settings!$C$9,Settings!$C$6))</f>
        <v/>
      </c>
      <c r="G229" s="48" t="str">
        <f t="shared" si="3"/>
        <v/>
      </c>
    </row>
    <row r="230" spans="1:7" ht="16" x14ac:dyDescent="0.2">
      <c r="A230" s="50"/>
      <c r="B230" s="47"/>
      <c r="C230" s="47"/>
      <c r="D230" s="47"/>
      <c r="E230" s="47"/>
      <c r="F230" s="52" t="str">
        <f>IF(E230="","",E230*IF(AND(A230&lt;&gt;"",Settings!$C$10&lt;&gt;"",YEAR(A230)=Settings!$C$5,MONTH(A230)&gt;=Settings!$C$10),Settings!$C$9,Settings!$C$6))</f>
        <v/>
      </c>
      <c r="G230" s="48" t="str">
        <f t="shared" si="3"/>
        <v/>
      </c>
    </row>
    <row r="231" spans="1:7" ht="16" x14ac:dyDescent="0.2">
      <c r="A231" s="50"/>
      <c r="B231" s="47"/>
      <c r="C231" s="47"/>
      <c r="D231" s="47"/>
      <c r="E231" s="47"/>
      <c r="F231" s="52" t="str">
        <f>IF(E231="","",E231*IF(AND(A231&lt;&gt;"",Settings!$C$10&lt;&gt;"",YEAR(A231)=Settings!$C$5,MONTH(A231)&gt;=Settings!$C$10),Settings!$C$9,Settings!$C$6))</f>
        <v/>
      </c>
      <c r="G231" s="48" t="str">
        <f t="shared" si="3"/>
        <v/>
      </c>
    </row>
    <row r="232" spans="1:7" ht="16" x14ac:dyDescent="0.2">
      <c r="A232" s="50"/>
      <c r="B232" s="47"/>
      <c r="C232" s="47"/>
      <c r="D232" s="47"/>
      <c r="E232" s="47"/>
      <c r="F232" s="52" t="str">
        <f>IF(E232="","",E232*IF(AND(A232&lt;&gt;"",Settings!$C$10&lt;&gt;"",YEAR(A232)=Settings!$C$5,MONTH(A232)&gt;=Settings!$C$10),Settings!$C$9,Settings!$C$6))</f>
        <v/>
      </c>
      <c r="G232" s="48" t="str">
        <f t="shared" si="3"/>
        <v/>
      </c>
    </row>
    <row r="233" spans="1:7" ht="16" x14ac:dyDescent="0.2">
      <c r="A233" s="50"/>
      <c r="B233" s="47"/>
      <c r="C233" s="47"/>
      <c r="D233" s="47"/>
      <c r="E233" s="47"/>
      <c r="F233" s="52" t="str">
        <f>IF(E233="","",E233*IF(AND(A233&lt;&gt;"",Settings!$C$10&lt;&gt;"",YEAR(A233)=Settings!$C$5,MONTH(A233)&gt;=Settings!$C$10),Settings!$C$9,Settings!$C$6))</f>
        <v/>
      </c>
      <c r="G233" s="48" t="str">
        <f t="shared" si="3"/>
        <v/>
      </c>
    </row>
    <row r="234" spans="1:7" ht="16" x14ac:dyDescent="0.2">
      <c r="A234" s="50"/>
      <c r="B234" s="47"/>
      <c r="C234" s="47"/>
      <c r="D234" s="47"/>
      <c r="E234" s="47"/>
      <c r="F234" s="52" t="str">
        <f>IF(E234="","",E234*IF(AND(A234&lt;&gt;"",Settings!$C$10&lt;&gt;"",YEAR(A234)=Settings!$C$5,MONTH(A234)&gt;=Settings!$C$10),Settings!$C$9,Settings!$C$6))</f>
        <v/>
      </c>
      <c r="G234" s="48" t="str">
        <f t="shared" si="3"/>
        <v/>
      </c>
    </row>
    <row r="235" spans="1:7" ht="16" x14ac:dyDescent="0.2">
      <c r="A235" s="50"/>
      <c r="B235" s="47"/>
      <c r="C235" s="47"/>
      <c r="D235" s="47"/>
      <c r="E235" s="47"/>
      <c r="F235" s="52" t="str">
        <f>IF(E235="","",E235*IF(AND(A235&lt;&gt;"",Settings!$C$10&lt;&gt;"",YEAR(A235)=Settings!$C$5,MONTH(A235)&gt;=Settings!$C$10),Settings!$C$9,Settings!$C$6))</f>
        <v/>
      </c>
      <c r="G235" s="48" t="str">
        <f t="shared" si="3"/>
        <v/>
      </c>
    </row>
    <row r="236" spans="1:7" ht="16" x14ac:dyDescent="0.2">
      <c r="A236" s="50"/>
      <c r="B236" s="47"/>
      <c r="C236" s="47"/>
      <c r="D236" s="47"/>
      <c r="E236" s="47"/>
      <c r="F236" s="52" t="str">
        <f>IF(E236="","",E236*IF(AND(A236&lt;&gt;"",Settings!$C$10&lt;&gt;"",YEAR(A236)=Settings!$C$5,MONTH(A236)&gt;=Settings!$C$10),Settings!$C$9,Settings!$C$6))</f>
        <v/>
      </c>
      <c r="G236" s="48" t="str">
        <f t="shared" si="3"/>
        <v/>
      </c>
    </row>
    <row r="237" spans="1:7" ht="16" x14ac:dyDescent="0.2">
      <c r="A237" s="50"/>
      <c r="B237" s="47"/>
      <c r="C237" s="47"/>
      <c r="D237" s="47"/>
      <c r="E237" s="47"/>
      <c r="F237" s="52" t="str">
        <f>IF(E237="","",E237*IF(AND(A237&lt;&gt;"",Settings!$C$10&lt;&gt;"",YEAR(A237)=Settings!$C$5,MONTH(A237)&gt;=Settings!$C$10),Settings!$C$9,Settings!$C$6))</f>
        <v/>
      </c>
      <c r="G237" s="48" t="str">
        <f t="shared" si="3"/>
        <v/>
      </c>
    </row>
    <row r="238" spans="1:7" ht="16" x14ac:dyDescent="0.2">
      <c r="A238" s="50"/>
      <c r="B238" s="47"/>
      <c r="C238" s="47"/>
      <c r="D238" s="47"/>
      <c r="E238" s="47"/>
      <c r="F238" s="52" t="str">
        <f>IF(E238="","",E238*IF(AND(A238&lt;&gt;"",Settings!$C$10&lt;&gt;"",YEAR(A238)=Settings!$C$5,MONTH(A238)&gt;=Settings!$C$10),Settings!$C$9,Settings!$C$6))</f>
        <v/>
      </c>
      <c r="G238" s="48" t="str">
        <f t="shared" si="3"/>
        <v/>
      </c>
    </row>
    <row r="239" spans="1:7" ht="16" x14ac:dyDescent="0.2">
      <c r="A239" s="50"/>
      <c r="B239" s="47"/>
      <c r="C239" s="47"/>
      <c r="D239" s="47"/>
      <c r="E239" s="47"/>
      <c r="F239" s="52" t="str">
        <f>IF(E239="","",E239*IF(AND(A239&lt;&gt;"",Settings!$C$10&lt;&gt;"",YEAR(A239)=Settings!$C$5,MONTH(A239)&gt;=Settings!$C$10),Settings!$C$9,Settings!$C$6))</f>
        <v/>
      </c>
      <c r="G239" s="48" t="str">
        <f t="shared" si="3"/>
        <v/>
      </c>
    </row>
    <row r="240" spans="1:7" ht="16" x14ac:dyDescent="0.2">
      <c r="A240" s="50"/>
      <c r="B240" s="47"/>
      <c r="C240" s="47"/>
      <c r="D240" s="47"/>
      <c r="E240" s="47"/>
      <c r="F240" s="52" t="str">
        <f>IF(E240="","",E240*IF(AND(A240&lt;&gt;"",Settings!$C$10&lt;&gt;"",YEAR(A240)=Settings!$C$5,MONTH(A240)&gt;=Settings!$C$10),Settings!$C$9,Settings!$C$6))</f>
        <v/>
      </c>
      <c r="G240" s="48" t="str">
        <f t="shared" si="3"/>
        <v/>
      </c>
    </row>
    <row r="241" spans="1:7" ht="16" x14ac:dyDescent="0.2">
      <c r="A241" s="50"/>
      <c r="B241" s="47"/>
      <c r="C241" s="47"/>
      <c r="D241" s="47"/>
      <c r="E241" s="47"/>
      <c r="F241" s="52" t="str">
        <f>IF(E241="","",E241*IF(AND(A241&lt;&gt;"",Settings!$C$10&lt;&gt;"",YEAR(A241)=Settings!$C$5,MONTH(A241)&gt;=Settings!$C$10),Settings!$C$9,Settings!$C$6))</f>
        <v/>
      </c>
      <c r="G241" s="48" t="str">
        <f t="shared" si="3"/>
        <v/>
      </c>
    </row>
    <row r="242" spans="1:7" ht="16" x14ac:dyDescent="0.2">
      <c r="A242" s="50"/>
      <c r="B242" s="47"/>
      <c r="C242" s="47"/>
      <c r="D242" s="47"/>
      <c r="E242" s="47"/>
      <c r="F242" s="52" t="str">
        <f>IF(E242="","",E242*IF(AND(A242&lt;&gt;"",Settings!$C$10&lt;&gt;"",YEAR(A242)=Settings!$C$5,MONTH(A242)&gt;=Settings!$C$10),Settings!$C$9,Settings!$C$6))</f>
        <v/>
      </c>
      <c r="G242" s="48" t="str">
        <f t="shared" si="3"/>
        <v/>
      </c>
    </row>
    <row r="243" spans="1:7" ht="16" x14ac:dyDescent="0.2">
      <c r="A243" s="50"/>
      <c r="B243" s="47"/>
      <c r="C243" s="47"/>
      <c r="D243" s="47"/>
      <c r="E243" s="47"/>
      <c r="F243" s="52" t="str">
        <f>IF(E243="","",E243*IF(AND(A243&lt;&gt;"",Settings!$C$10&lt;&gt;"",YEAR(A243)=Settings!$C$5,MONTH(A243)&gt;=Settings!$C$10),Settings!$C$9,Settings!$C$6))</f>
        <v/>
      </c>
      <c r="G243" s="48" t="str">
        <f t="shared" si="3"/>
        <v/>
      </c>
    </row>
    <row r="244" spans="1:7" ht="16" x14ac:dyDescent="0.2">
      <c r="A244" s="50"/>
      <c r="B244" s="47"/>
      <c r="C244" s="47"/>
      <c r="D244" s="47"/>
      <c r="E244" s="47"/>
      <c r="F244" s="52" t="str">
        <f>IF(E244="","",E244*IF(AND(A244&lt;&gt;"",Settings!$C$10&lt;&gt;"",YEAR(A244)=Settings!$C$5,MONTH(A244)&gt;=Settings!$C$10),Settings!$C$9,Settings!$C$6))</f>
        <v/>
      </c>
      <c r="G244" s="48" t="str">
        <f t="shared" si="3"/>
        <v/>
      </c>
    </row>
    <row r="245" spans="1:7" ht="16" x14ac:dyDescent="0.2">
      <c r="A245" s="50"/>
      <c r="B245" s="47"/>
      <c r="C245" s="47"/>
      <c r="D245" s="47"/>
      <c r="E245" s="47"/>
      <c r="F245" s="52" t="str">
        <f>IF(E245="","",E245*IF(AND(A245&lt;&gt;"",Settings!$C$10&lt;&gt;"",YEAR(A245)=Settings!$C$5,MONTH(A245)&gt;=Settings!$C$10),Settings!$C$9,Settings!$C$6))</f>
        <v/>
      </c>
      <c r="G245" s="48" t="str">
        <f t="shared" si="3"/>
        <v/>
      </c>
    </row>
    <row r="246" spans="1:7" ht="16" x14ac:dyDescent="0.2">
      <c r="A246" s="50"/>
      <c r="B246" s="47"/>
      <c r="C246" s="47"/>
      <c r="D246" s="47"/>
      <c r="E246" s="47"/>
      <c r="F246" s="52" t="str">
        <f>IF(E246="","",E246*IF(AND(A246&lt;&gt;"",Settings!$C$10&lt;&gt;"",YEAR(A246)=Settings!$C$5,MONTH(A246)&gt;=Settings!$C$10),Settings!$C$9,Settings!$C$6))</f>
        <v/>
      </c>
      <c r="G246" s="48" t="str">
        <f t="shared" si="3"/>
        <v/>
      </c>
    </row>
    <row r="247" spans="1:7" ht="16" x14ac:dyDescent="0.2">
      <c r="A247" s="50"/>
      <c r="B247" s="47"/>
      <c r="C247" s="47"/>
      <c r="D247" s="47"/>
      <c r="E247" s="47"/>
      <c r="F247" s="52" t="str">
        <f>IF(E247="","",E247*IF(AND(A247&lt;&gt;"",Settings!$C$10&lt;&gt;"",YEAR(A247)=Settings!$C$5,MONTH(A247)&gt;=Settings!$C$10),Settings!$C$9,Settings!$C$6))</f>
        <v/>
      </c>
      <c r="G247" s="48" t="str">
        <f t="shared" si="3"/>
        <v/>
      </c>
    </row>
    <row r="248" spans="1:7" ht="16" x14ac:dyDescent="0.2">
      <c r="A248" s="50"/>
      <c r="B248" s="47"/>
      <c r="C248" s="47"/>
      <c r="D248" s="47"/>
      <c r="E248" s="47"/>
      <c r="F248" s="52" t="str">
        <f>IF(E248="","",E248*IF(AND(A248&lt;&gt;"",Settings!$C$10&lt;&gt;"",YEAR(A248)=Settings!$C$5,MONTH(A248)&gt;=Settings!$C$10),Settings!$C$9,Settings!$C$6))</f>
        <v/>
      </c>
      <c r="G248" s="48" t="str">
        <f t="shared" si="3"/>
        <v/>
      </c>
    </row>
    <row r="249" spans="1:7" ht="16" x14ac:dyDescent="0.2">
      <c r="A249" s="50"/>
      <c r="B249" s="47"/>
      <c r="C249" s="47"/>
      <c r="D249" s="47"/>
      <c r="E249" s="47"/>
      <c r="F249" s="52" t="str">
        <f>IF(E249="","",E249*IF(AND(A249&lt;&gt;"",Settings!$C$10&lt;&gt;"",YEAR(A249)=Settings!$C$5,MONTH(A249)&gt;=Settings!$C$10),Settings!$C$9,Settings!$C$6))</f>
        <v/>
      </c>
      <c r="G249" s="48" t="str">
        <f t="shared" si="3"/>
        <v/>
      </c>
    </row>
    <row r="250" spans="1:7" ht="16" x14ac:dyDescent="0.2">
      <c r="A250" s="50"/>
      <c r="B250" s="47"/>
      <c r="C250" s="47"/>
      <c r="D250" s="47"/>
      <c r="E250" s="47"/>
      <c r="F250" s="52" t="str">
        <f>IF(E250="","",E250*IF(AND(A250&lt;&gt;"",Settings!$C$10&lt;&gt;"",YEAR(A250)=Settings!$C$5,MONTH(A250)&gt;=Settings!$C$10),Settings!$C$9,Settings!$C$6))</f>
        <v/>
      </c>
      <c r="G250" s="48" t="str">
        <f t="shared" si="3"/>
        <v/>
      </c>
    </row>
    <row r="251" spans="1:7" ht="16" x14ac:dyDescent="0.2">
      <c r="A251" s="50"/>
      <c r="B251" s="47"/>
      <c r="C251" s="47"/>
      <c r="D251" s="47"/>
      <c r="E251" s="47"/>
      <c r="F251" s="52" t="str">
        <f>IF(E251="","",E251*IF(AND(A251&lt;&gt;"",Settings!$C$10&lt;&gt;"",YEAR(A251)=Settings!$C$5,MONTH(A251)&gt;=Settings!$C$10),Settings!$C$9,Settings!$C$6))</f>
        <v/>
      </c>
      <c r="G251" s="48" t="str">
        <f t="shared" si="3"/>
        <v/>
      </c>
    </row>
    <row r="252" spans="1:7" ht="16" x14ac:dyDescent="0.2">
      <c r="A252" s="50"/>
      <c r="B252" s="47"/>
      <c r="C252" s="47"/>
      <c r="D252" s="47"/>
      <c r="E252" s="47"/>
      <c r="F252" s="52" t="str">
        <f>IF(E252="","",E252*IF(AND(A252&lt;&gt;"",Settings!$C$10&lt;&gt;"",YEAR(A252)=Settings!$C$5,MONTH(A252)&gt;=Settings!$C$10),Settings!$C$9,Settings!$C$6))</f>
        <v/>
      </c>
      <c r="G252" s="48" t="str">
        <f t="shared" si="3"/>
        <v/>
      </c>
    </row>
    <row r="253" spans="1:7" ht="16" x14ac:dyDescent="0.2">
      <c r="A253" s="50"/>
      <c r="B253" s="47"/>
      <c r="C253" s="47"/>
      <c r="D253" s="47"/>
      <c r="E253" s="47"/>
      <c r="F253" s="52" t="str">
        <f>IF(E253="","",E253*IF(AND(A253&lt;&gt;"",Settings!$C$10&lt;&gt;"",YEAR(A253)=Settings!$C$5,MONTH(A253)&gt;=Settings!$C$10),Settings!$C$9,Settings!$C$6))</f>
        <v/>
      </c>
      <c r="G253" s="48" t="str">
        <f t="shared" si="3"/>
        <v/>
      </c>
    </row>
    <row r="254" spans="1:7" ht="16" x14ac:dyDescent="0.2">
      <c r="A254" s="50"/>
      <c r="B254" s="47"/>
      <c r="C254" s="47"/>
      <c r="D254" s="47"/>
      <c r="E254" s="47"/>
      <c r="F254" s="52" t="str">
        <f>IF(E254="","",E254*IF(AND(A254&lt;&gt;"",Settings!$C$10&lt;&gt;"",YEAR(A254)=Settings!$C$5,MONTH(A254)&gt;=Settings!$C$10),Settings!$C$9,Settings!$C$6))</f>
        <v/>
      </c>
      <c r="G254" s="48" t="str">
        <f t="shared" si="3"/>
        <v/>
      </c>
    </row>
    <row r="255" spans="1:7" ht="16" x14ac:dyDescent="0.2">
      <c r="A255" s="50"/>
      <c r="B255" s="47"/>
      <c r="C255" s="47"/>
      <c r="D255" s="47"/>
      <c r="E255" s="47"/>
      <c r="F255" s="52" t="str">
        <f>IF(E255="","",E255*IF(AND(A255&lt;&gt;"",Settings!$C$10&lt;&gt;"",YEAR(A255)=Settings!$C$5,MONTH(A255)&gt;=Settings!$C$10),Settings!$C$9,Settings!$C$6))</f>
        <v/>
      </c>
      <c r="G255" s="48" t="str">
        <f t="shared" si="3"/>
        <v/>
      </c>
    </row>
    <row r="256" spans="1:7" ht="16" x14ac:dyDescent="0.2">
      <c r="A256" s="50"/>
      <c r="B256" s="47"/>
      <c r="C256" s="47"/>
      <c r="D256" s="47"/>
      <c r="E256" s="47"/>
      <c r="F256" s="52" t="str">
        <f>IF(E256="","",E256*IF(AND(A256&lt;&gt;"",Settings!$C$10&lt;&gt;"",YEAR(A256)=Settings!$C$5,MONTH(A256)&gt;=Settings!$C$10),Settings!$C$9,Settings!$C$6))</f>
        <v/>
      </c>
      <c r="G256" s="48" t="str">
        <f t="shared" si="3"/>
        <v/>
      </c>
    </row>
    <row r="257" spans="1:7" ht="16" x14ac:dyDescent="0.2">
      <c r="A257" s="50"/>
      <c r="B257" s="47"/>
      <c r="C257" s="47"/>
      <c r="D257" s="47"/>
      <c r="E257" s="47"/>
      <c r="F257" s="52" t="str">
        <f>IF(E257="","",E257*IF(AND(A257&lt;&gt;"",Settings!$C$10&lt;&gt;"",YEAR(A257)=Settings!$C$5,MONTH(A257)&gt;=Settings!$C$10),Settings!$C$9,Settings!$C$6))</f>
        <v/>
      </c>
      <c r="G257" s="48" t="str">
        <f t="shared" si="3"/>
        <v/>
      </c>
    </row>
    <row r="258" spans="1:7" ht="16" x14ac:dyDescent="0.2">
      <c r="A258" s="50"/>
      <c r="B258" s="47"/>
      <c r="C258" s="47"/>
      <c r="D258" s="47"/>
      <c r="E258" s="47"/>
      <c r="F258" s="52" t="str">
        <f>IF(E258="","",E258*IF(AND(A258&lt;&gt;"",Settings!$C$10&lt;&gt;"",YEAR(A258)=Settings!$C$5,MONTH(A258)&gt;=Settings!$C$10),Settings!$C$9,Settings!$C$6))</f>
        <v/>
      </c>
      <c r="G258" s="48" t="str">
        <f t="shared" si="3"/>
        <v/>
      </c>
    </row>
    <row r="259" spans="1:7" ht="16" x14ac:dyDescent="0.2">
      <c r="A259" s="50"/>
      <c r="B259" s="47"/>
      <c r="C259" s="47"/>
      <c r="D259" s="47"/>
      <c r="E259" s="47"/>
      <c r="F259" s="52" t="str">
        <f>IF(E259="","",E259*IF(AND(A259&lt;&gt;"",Settings!$C$10&lt;&gt;"",YEAR(A259)=Settings!$C$5,MONTH(A259)&gt;=Settings!$C$10),Settings!$C$9,Settings!$C$6))</f>
        <v/>
      </c>
      <c r="G259" s="48" t="str">
        <f t="shared" si="3"/>
        <v/>
      </c>
    </row>
    <row r="260" spans="1:7" ht="16" x14ac:dyDescent="0.2">
      <c r="A260" s="50"/>
      <c r="B260" s="47"/>
      <c r="C260" s="47"/>
      <c r="D260" s="47"/>
      <c r="E260" s="47"/>
      <c r="F260" s="52" t="str">
        <f>IF(E260="","",E260*IF(AND(A260&lt;&gt;"",Settings!$C$10&lt;&gt;"",YEAR(A260)=Settings!$C$5,MONTH(A260)&gt;=Settings!$C$10),Settings!$C$9,Settings!$C$6))</f>
        <v/>
      </c>
      <c r="G260" s="48" t="str">
        <f t="shared" si="3"/>
        <v/>
      </c>
    </row>
    <row r="261" spans="1:7" ht="16" x14ac:dyDescent="0.2">
      <c r="A261" s="50"/>
      <c r="B261" s="47"/>
      <c r="C261" s="47"/>
      <c r="D261" s="47"/>
      <c r="E261" s="47"/>
      <c r="F261" s="52" t="str">
        <f>IF(E261="","",E261*IF(AND(A261&lt;&gt;"",Settings!$C$10&lt;&gt;"",YEAR(A261)=Settings!$C$5,MONTH(A261)&gt;=Settings!$C$10),Settings!$C$9,Settings!$C$6))</f>
        <v/>
      </c>
      <c r="G261" s="48" t="str">
        <f t="shared" si="3"/>
        <v/>
      </c>
    </row>
    <row r="262" spans="1:7" ht="16" x14ac:dyDescent="0.2">
      <c r="A262" s="50"/>
      <c r="B262" s="47"/>
      <c r="C262" s="47"/>
      <c r="D262" s="47"/>
      <c r="E262" s="47"/>
      <c r="F262" s="52" t="str">
        <f>IF(E262="","",E262*IF(AND(A262&lt;&gt;"",Settings!$C$10&lt;&gt;"",YEAR(A262)=Settings!$C$5,MONTH(A262)&gt;=Settings!$C$10),Settings!$C$9,Settings!$C$6))</f>
        <v/>
      </c>
      <c r="G262" s="48" t="str">
        <f t="shared" si="3"/>
        <v/>
      </c>
    </row>
    <row r="263" spans="1:7" ht="16" x14ac:dyDescent="0.2">
      <c r="A263" s="50"/>
      <c r="B263" s="47"/>
      <c r="C263" s="47"/>
      <c r="D263" s="47"/>
      <c r="E263" s="47"/>
      <c r="F263" s="52" t="str">
        <f>IF(E263="","",E263*IF(AND(A263&lt;&gt;"",Settings!$C$10&lt;&gt;"",YEAR(A263)=Settings!$C$5,MONTH(A263)&gt;=Settings!$C$10),Settings!$C$9,Settings!$C$6))</f>
        <v/>
      </c>
      <c r="G263" s="48" t="str">
        <f t="shared" ref="G263:G326" si="4">IF(OR(A263="",E263=""),"",YEAR(A263))</f>
        <v/>
      </c>
    </row>
    <row r="264" spans="1:7" ht="16" x14ac:dyDescent="0.2">
      <c r="A264" s="50"/>
      <c r="B264" s="47"/>
      <c r="C264" s="47"/>
      <c r="D264" s="47"/>
      <c r="E264" s="47"/>
      <c r="F264" s="52" t="str">
        <f>IF(E264="","",E264*IF(AND(A264&lt;&gt;"",Settings!$C$10&lt;&gt;"",YEAR(A264)=Settings!$C$5,MONTH(A264)&gt;=Settings!$C$10),Settings!$C$9,Settings!$C$6))</f>
        <v/>
      </c>
      <c r="G264" s="48" t="str">
        <f t="shared" si="4"/>
        <v/>
      </c>
    </row>
    <row r="265" spans="1:7" ht="16" x14ac:dyDescent="0.2">
      <c r="A265" s="50"/>
      <c r="B265" s="47"/>
      <c r="C265" s="47"/>
      <c r="D265" s="47"/>
      <c r="E265" s="47"/>
      <c r="F265" s="52" t="str">
        <f>IF(E265="","",E265*IF(AND(A265&lt;&gt;"",Settings!$C$10&lt;&gt;"",YEAR(A265)=Settings!$C$5,MONTH(A265)&gt;=Settings!$C$10),Settings!$C$9,Settings!$C$6))</f>
        <v/>
      </c>
      <c r="G265" s="48" t="str">
        <f t="shared" si="4"/>
        <v/>
      </c>
    </row>
    <row r="266" spans="1:7" ht="16" x14ac:dyDescent="0.2">
      <c r="A266" s="50"/>
      <c r="B266" s="47"/>
      <c r="C266" s="47"/>
      <c r="D266" s="47"/>
      <c r="E266" s="47"/>
      <c r="F266" s="52" t="str">
        <f>IF(E266="","",E266*IF(AND(A266&lt;&gt;"",Settings!$C$10&lt;&gt;"",YEAR(A266)=Settings!$C$5,MONTH(A266)&gt;=Settings!$C$10),Settings!$C$9,Settings!$C$6))</f>
        <v/>
      </c>
      <c r="G266" s="48" t="str">
        <f t="shared" si="4"/>
        <v/>
      </c>
    </row>
    <row r="267" spans="1:7" ht="16" x14ac:dyDescent="0.2">
      <c r="A267" s="50"/>
      <c r="B267" s="47"/>
      <c r="C267" s="47"/>
      <c r="D267" s="47"/>
      <c r="E267" s="47"/>
      <c r="F267" s="52" t="str">
        <f>IF(E267="","",E267*IF(AND(A267&lt;&gt;"",Settings!$C$10&lt;&gt;"",YEAR(A267)=Settings!$C$5,MONTH(A267)&gt;=Settings!$C$10),Settings!$C$9,Settings!$C$6))</f>
        <v/>
      </c>
      <c r="G267" s="48" t="str">
        <f t="shared" si="4"/>
        <v/>
      </c>
    </row>
    <row r="268" spans="1:7" ht="16" x14ac:dyDescent="0.2">
      <c r="A268" s="50"/>
      <c r="B268" s="47"/>
      <c r="C268" s="47"/>
      <c r="D268" s="47"/>
      <c r="E268" s="47"/>
      <c r="F268" s="52" t="str">
        <f>IF(E268="","",E268*IF(AND(A268&lt;&gt;"",Settings!$C$10&lt;&gt;"",YEAR(A268)=Settings!$C$5,MONTH(A268)&gt;=Settings!$C$10),Settings!$C$9,Settings!$C$6))</f>
        <v/>
      </c>
      <c r="G268" s="48" t="str">
        <f t="shared" si="4"/>
        <v/>
      </c>
    </row>
    <row r="269" spans="1:7" ht="16" x14ac:dyDescent="0.2">
      <c r="A269" s="50"/>
      <c r="B269" s="47"/>
      <c r="C269" s="47"/>
      <c r="D269" s="47"/>
      <c r="E269" s="47"/>
      <c r="F269" s="52" t="str">
        <f>IF(E269="","",E269*IF(AND(A269&lt;&gt;"",Settings!$C$10&lt;&gt;"",YEAR(A269)=Settings!$C$5,MONTH(A269)&gt;=Settings!$C$10),Settings!$C$9,Settings!$C$6))</f>
        <v/>
      </c>
      <c r="G269" s="48" t="str">
        <f t="shared" si="4"/>
        <v/>
      </c>
    </row>
    <row r="270" spans="1:7" ht="16" x14ac:dyDescent="0.2">
      <c r="A270" s="50"/>
      <c r="B270" s="47"/>
      <c r="C270" s="47"/>
      <c r="D270" s="47"/>
      <c r="E270" s="47"/>
      <c r="F270" s="52" t="str">
        <f>IF(E270="","",E270*IF(AND(A270&lt;&gt;"",Settings!$C$10&lt;&gt;"",YEAR(A270)=Settings!$C$5,MONTH(A270)&gt;=Settings!$C$10),Settings!$C$9,Settings!$C$6))</f>
        <v/>
      </c>
      <c r="G270" s="48" t="str">
        <f t="shared" si="4"/>
        <v/>
      </c>
    </row>
    <row r="271" spans="1:7" ht="16" x14ac:dyDescent="0.2">
      <c r="A271" s="50"/>
      <c r="B271" s="47"/>
      <c r="C271" s="47"/>
      <c r="D271" s="47"/>
      <c r="E271" s="47"/>
      <c r="F271" s="52" t="str">
        <f>IF(E271="","",E271*IF(AND(A271&lt;&gt;"",Settings!$C$10&lt;&gt;"",YEAR(A271)=Settings!$C$5,MONTH(A271)&gt;=Settings!$C$10),Settings!$C$9,Settings!$C$6))</f>
        <v/>
      </c>
      <c r="G271" s="48" t="str">
        <f t="shared" si="4"/>
        <v/>
      </c>
    </row>
    <row r="272" spans="1:7" ht="16" x14ac:dyDescent="0.2">
      <c r="A272" s="50"/>
      <c r="B272" s="47"/>
      <c r="C272" s="47"/>
      <c r="D272" s="47"/>
      <c r="E272" s="47"/>
      <c r="F272" s="52" t="str">
        <f>IF(E272="","",E272*IF(AND(A272&lt;&gt;"",Settings!$C$10&lt;&gt;"",YEAR(A272)=Settings!$C$5,MONTH(A272)&gt;=Settings!$C$10),Settings!$C$9,Settings!$C$6))</f>
        <v/>
      </c>
      <c r="G272" s="48" t="str">
        <f t="shared" si="4"/>
        <v/>
      </c>
    </row>
    <row r="273" spans="1:7" ht="16" x14ac:dyDescent="0.2">
      <c r="A273" s="50"/>
      <c r="B273" s="47"/>
      <c r="C273" s="47"/>
      <c r="D273" s="47"/>
      <c r="E273" s="47"/>
      <c r="F273" s="52" t="str">
        <f>IF(E273="","",E273*IF(AND(A273&lt;&gt;"",Settings!$C$10&lt;&gt;"",YEAR(A273)=Settings!$C$5,MONTH(A273)&gt;=Settings!$C$10),Settings!$C$9,Settings!$C$6))</f>
        <v/>
      </c>
      <c r="G273" s="48" t="str">
        <f t="shared" si="4"/>
        <v/>
      </c>
    </row>
    <row r="274" spans="1:7" ht="16" x14ac:dyDescent="0.2">
      <c r="A274" s="50"/>
      <c r="B274" s="47"/>
      <c r="C274" s="47"/>
      <c r="D274" s="47"/>
      <c r="E274" s="47"/>
      <c r="F274" s="52" t="str">
        <f>IF(E274="","",E274*IF(AND(A274&lt;&gt;"",Settings!$C$10&lt;&gt;"",YEAR(A274)=Settings!$C$5,MONTH(A274)&gt;=Settings!$C$10),Settings!$C$9,Settings!$C$6))</f>
        <v/>
      </c>
      <c r="G274" s="48" t="str">
        <f t="shared" si="4"/>
        <v/>
      </c>
    </row>
    <row r="275" spans="1:7" ht="16" x14ac:dyDescent="0.2">
      <c r="A275" s="50"/>
      <c r="B275" s="47"/>
      <c r="C275" s="47"/>
      <c r="D275" s="47"/>
      <c r="E275" s="47"/>
      <c r="F275" s="52" t="str">
        <f>IF(E275="","",E275*IF(AND(A275&lt;&gt;"",Settings!$C$10&lt;&gt;"",YEAR(A275)=Settings!$C$5,MONTH(A275)&gt;=Settings!$C$10),Settings!$C$9,Settings!$C$6))</f>
        <v/>
      </c>
      <c r="G275" s="48" t="str">
        <f t="shared" si="4"/>
        <v/>
      </c>
    </row>
    <row r="276" spans="1:7" ht="16" x14ac:dyDescent="0.2">
      <c r="A276" s="50"/>
      <c r="B276" s="47"/>
      <c r="C276" s="47"/>
      <c r="D276" s="47"/>
      <c r="E276" s="47"/>
      <c r="F276" s="52" t="str">
        <f>IF(E276="","",E276*IF(AND(A276&lt;&gt;"",Settings!$C$10&lt;&gt;"",YEAR(A276)=Settings!$C$5,MONTH(A276)&gt;=Settings!$C$10),Settings!$C$9,Settings!$C$6))</f>
        <v/>
      </c>
      <c r="G276" s="48" t="str">
        <f t="shared" si="4"/>
        <v/>
      </c>
    </row>
    <row r="277" spans="1:7" ht="16" x14ac:dyDescent="0.2">
      <c r="A277" s="50"/>
      <c r="B277" s="47"/>
      <c r="C277" s="47"/>
      <c r="D277" s="47"/>
      <c r="E277" s="47"/>
      <c r="F277" s="52" t="str">
        <f>IF(E277="","",E277*IF(AND(A277&lt;&gt;"",Settings!$C$10&lt;&gt;"",YEAR(A277)=Settings!$C$5,MONTH(A277)&gt;=Settings!$C$10),Settings!$C$9,Settings!$C$6))</f>
        <v/>
      </c>
      <c r="G277" s="48" t="str">
        <f t="shared" si="4"/>
        <v/>
      </c>
    </row>
    <row r="278" spans="1:7" ht="16" x14ac:dyDescent="0.2">
      <c r="A278" s="50"/>
      <c r="B278" s="47"/>
      <c r="C278" s="47"/>
      <c r="D278" s="47"/>
      <c r="E278" s="47"/>
      <c r="F278" s="52" t="str">
        <f>IF(E278="","",E278*IF(AND(A278&lt;&gt;"",Settings!$C$10&lt;&gt;"",YEAR(A278)=Settings!$C$5,MONTH(A278)&gt;=Settings!$C$10),Settings!$C$9,Settings!$C$6))</f>
        <v/>
      </c>
      <c r="G278" s="48" t="str">
        <f t="shared" si="4"/>
        <v/>
      </c>
    </row>
    <row r="279" spans="1:7" ht="16" x14ac:dyDescent="0.2">
      <c r="A279" s="50"/>
      <c r="B279" s="47"/>
      <c r="C279" s="47"/>
      <c r="D279" s="47"/>
      <c r="E279" s="47"/>
      <c r="F279" s="52" t="str">
        <f>IF(E279="","",E279*IF(AND(A279&lt;&gt;"",Settings!$C$10&lt;&gt;"",YEAR(A279)=Settings!$C$5,MONTH(A279)&gt;=Settings!$C$10),Settings!$C$9,Settings!$C$6))</f>
        <v/>
      </c>
      <c r="G279" s="48" t="str">
        <f t="shared" si="4"/>
        <v/>
      </c>
    </row>
    <row r="280" spans="1:7" ht="16" x14ac:dyDescent="0.2">
      <c r="A280" s="50"/>
      <c r="B280" s="47"/>
      <c r="C280" s="47"/>
      <c r="D280" s="47"/>
      <c r="E280" s="47"/>
      <c r="F280" s="52" t="str">
        <f>IF(E280="","",E280*IF(AND(A280&lt;&gt;"",Settings!$C$10&lt;&gt;"",YEAR(A280)=Settings!$C$5,MONTH(A280)&gt;=Settings!$C$10),Settings!$C$9,Settings!$C$6))</f>
        <v/>
      </c>
      <c r="G280" s="48" t="str">
        <f t="shared" si="4"/>
        <v/>
      </c>
    </row>
    <row r="281" spans="1:7" ht="16" x14ac:dyDescent="0.2">
      <c r="A281" s="50"/>
      <c r="B281" s="47"/>
      <c r="C281" s="47"/>
      <c r="D281" s="47"/>
      <c r="E281" s="47"/>
      <c r="F281" s="52" t="str">
        <f>IF(E281="","",E281*IF(AND(A281&lt;&gt;"",Settings!$C$10&lt;&gt;"",YEAR(A281)=Settings!$C$5,MONTH(A281)&gt;=Settings!$C$10),Settings!$C$9,Settings!$C$6))</f>
        <v/>
      </c>
      <c r="G281" s="48" t="str">
        <f t="shared" si="4"/>
        <v/>
      </c>
    </row>
    <row r="282" spans="1:7" ht="16" x14ac:dyDescent="0.2">
      <c r="A282" s="50"/>
      <c r="B282" s="47"/>
      <c r="C282" s="47"/>
      <c r="D282" s="47"/>
      <c r="E282" s="47"/>
      <c r="F282" s="52" t="str">
        <f>IF(E282="","",E282*IF(AND(A282&lt;&gt;"",Settings!$C$10&lt;&gt;"",YEAR(A282)=Settings!$C$5,MONTH(A282)&gt;=Settings!$C$10),Settings!$C$9,Settings!$C$6))</f>
        <v/>
      </c>
      <c r="G282" s="48" t="str">
        <f t="shared" si="4"/>
        <v/>
      </c>
    </row>
    <row r="283" spans="1:7" ht="16" x14ac:dyDescent="0.2">
      <c r="A283" s="50"/>
      <c r="B283" s="47"/>
      <c r="C283" s="47"/>
      <c r="D283" s="47"/>
      <c r="E283" s="47"/>
      <c r="F283" s="52" t="str">
        <f>IF(E283="","",E283*IF(AND(A283&lt;&gt;"",Settings!$C$10&lt;&gt;"",YEAR(A283)=Settings!$C$5,MONTH(A283)&gt;=Settings!$C$10),Settings!$C$9,Settings!$C$6))</f>
        <v/>
      </c>
      <c r="G283" s="48" t="str">
        <f t="shared" si="4"/>
        <v/>
      </c>
    </row>
    <row r="284" spans="1:7" ht="16" x14ac:dyDescent="0.2">
      <c r="A284" s="50"/>
      <c r="B284" s="47"/>
      <c r="C284" s="47"/>
      <c r="D284" s="47"/>
      <c r="E284" s="47"/>
      <c r="F284" s="52" t="str">
        <f>IF(E284="","",E284*IF(AND(A284&lt;&gt;"",Settings!$C$10&lt;&gt;"",YEAR(A284)=Settings!$C$5,MONTH(A284)&gt;=Settings!$C$10),Settings!$C$9,Settings!$C$6))</f>
        <v/>
      </c>
      <c r="G284" s="48" t="str">
        <f t="shared" si="4"/>
        <v/>
      </c>
    </row>
    <row r="285" spans="1:7" ht="16" x14ac:dyDescent="0.2">
      <c r="A285" s="50"/>
      <c r="B285" s="47"/>
      <c r="C285" s="47"/>
      <c r="D285" s="47"/>
      <c r="E285" s="47"/>
      <c r="F285" s="52" t="str">
        <f>IF(E285="","",E285*IF(AND(A285&lt;&gt;"",Settings!$C$10&lt;&gt;"",YEAR(A285)=Settings!$C$5,MONTH(A285)&gt;=Settings!$C$10),Settings!$C$9,Settings!$C$6))</f>
        <v/>
      </c>
      <c r="G285" s="48" t="str">
        <f t="shared" si="4"/>
        <v/>
      </c>
    </row>
    <row r="286" spans="1:7" ht="16" x14ac:dyDescent="0.2">
      <c r="A286" s="50"/>
      <c r="B286" s="47"/>
      <c r="C286" s="47"/>
      <c r="D286" s="47"/>
      <c r="E286" s="47"/>
      <c r="F286" s="52" t="str">
        <f>IF(E286="","",E286*IF(AND(A286&lt;&gt;"",Settings!$C$10&lt;&gt;"",YEAR(A286)=Settings!$C$5,MONTH(A286)&gt;=Settings!$C$10),Settings!$C$9,Settings!$C$6))</f>
        <v/>
      </c>
      <c r="G286" s="48" t="str">
        <f t="shared" si="4"/>
        <v/>
      </c>
    </row>
    <row r="287" spans="1:7" ht="16" x14ac:dyDescent="0.2">
      <c r="A287" s="50"/>
      <c r="B287" s="47"/>
      <c r="C287" s="47"/>
      <c r="D287" s="47"/>
      <c r="E287" s="47"/>
      <c r="F287" s="52" t="str">
        <f>IF(E287="","",E287*IF(AND(A287&lt;&gt;"",Settings!$C$10&lt;&gt;"",YEAR(A287)=Settings!$C$5,MONTH(A287)&gt;=Settings!$C$10),Settings!$C$9,Settings!$C$6))</f>
        <v/>
      </c>
      <c r="G287" s="48" t="str">
        <f t="shared" si="4"/>
        <v/>
      </c>
    </row>
    <row r="288" spans="1:7" ht="16" x14ac:dyDescent="0.2">
      <c r="A288" s="50"/>
      <c r="B288" s="47"/>
      <c r="C288" s="47"/>
      <c r="D288" s="47"/>
      <c r="E288" s="47"/>
      <c r="F288" s="52" t="str">
        <f>IF(E288="","",E288*IF(AND(A288&lt;&gt;"",Settings!$C$10&lt;&gt;"",YEAR(A288)=Settings!$C$5,MONTH(A288)&gt;=Settings!$C$10),Settings!$C$9,Settings!$C$6))</f>
        <v/>
      </c>
      <c r="G288" s="48" t="str">
        <f t="shared" si="4"/>
        <v/>
      </c>
    </row>
    <row r="289" spans="1:7" ht="16" x14ac:dyDescent="0.2">
      <c r="A289" s="50"/>
      <c r="B289" s="47"/>
      <c r="C289" s="47"/>
      <c r="D289" s="47"/>
      <c r="E289" s="47"/>
      <c r="F289" s="52" t="str">
        <f>IF(E289="","",E289*IF(AND(A289&lt;&gt;"",Settings!$C$10&lt;&gt;"",YEAR(A289)=Settings!$C$5,MONTH(A289)&gt;=Settings!$C$10),Settings!$C$9,Settings!$C$6))</f>
        <v/>
      </c>
      <c r="G289" s="48" t="str">
        <f t="shared" si="4"/>
        <v/>
      </c>
    </row>
    <row r="290" spans="1:7" ht="16" x14ac:dyDescent="0.2">
      <c r="A290" s="50"/>
      <c r="B290" s="47"/>
      <c r="C290" s="47"/>
      <c r="D290" s="47"/>
      <c r="E290" s="47"/>
      <c r="F290" s="52" t="str">
        <f>IF(E290="","",E290*IF(AND(A290&lt;&gt;"",Settings!$C$10&lt;&gt;"",YEAR(A290)=Settings!$C$5,MONTH(A290)&gt;=Settings!$C$10),Settings!$C$9,Settings!$C$6))</f>
        <v/>
      </c>
      <c r="G290" s="48" t="str">
        <f t="shared" si="4"/>
        <v/>
      </c>
    </row>
    <row r="291" spans="1:7" ht="16" x14ac:dyDescent="0.2">
      <c r="A291" s="50"/>
      <c r="B291" s="47"/>
      <c r="C291" s="47"/>
      <c r="D291" s="47"/>
      <c r="E291" s="47"/>
      <c r="F291" s="52" t="str">
        <f>IF(E291="","",E291*IF(AND(A291&lt;&gt;"",Settings!$C$10&lt;&gt;"",YEAR(A291)=Settings!$C$5,MONTH(A291)&gt;=Settings!$C$10),Settings!$C$9,Settings!$C$6))</f>
        <v/>
      </c>
      <c r="G291" s="48" t="str">
        <f t="shared" si="4"/>
        <v/>
      </c>
    </row>
    <row r="292" spans="1:7" ht="16" x14ac:dyDescent="0.2">
      <c r="A292" s="50"/>
      <c r="B292" s="47"/>
      <c r="C292" s="47"/>
      <c r="D292" s="47"/>
      <c r="E292" s="47"/>
      <c r="F292" s="52" t="str">
        <f>IF(E292="","",E292*IF(AND(A292&lt;&gt;"",Settings!$C$10&lt;&gt;"",YEAR(A292)=Settings!$C$5,MONTH(A292)&gt;=Settings!$C$10),Settings!$C$9,Settings!$C$6))</f>
        <v/>
      </c>
      <c r="G292" s="48" t="str">
        <f t="shared" si="4"/>
        <v/>
      </c>
    </row>
    <row r="293" spans="1:7" ht="16" x14ac:dyDescent="0.2">
      <c r="A293" s="50"/>
      <c r="B293" s="47"/>
      <c r="C293" s="47"/>
      <c r="D293" s="47"/>
      <c r="E293" s="47"/>
      <c r="F293" s="52" t="str">
        <f>IF(E293="","",E293*IF(AND(A293&lt;&gt;"",Settings!$C$10&lt;&gt;"",YEAR(A293)=Settings!$C$5,MONTH(A293)&gt;=Settings!$C$10),Settings!$C$9,Settings!$C$6))</f>
        <v/>
      </c>
      <c r="G293" s="48" t="str">
        <f t="shared" si="4"/>
        <v/>
      </c>
    </row>
    <row r="294" spans="1:7" ht="16" x14ac:dyDescent="0.2">
      <c r="A294" s="50"/>
      <c r="B294" s="47"/>
      <c r="C294" s="47"/>
      <c r="D294" s="47"/>
      <c r="E294" s="47"/>
      <c r="F294" s="52" t="str">
        <f>IF(E294="","",E294*IF(AND(A294&lt;&gt;"",Settings!$C$10&lt;&gt;"",YEAR(A294)=Settings!$C$5,MONTH(A294)&gt;=Settings!$C$10),Settings!$C$9,Settings!$C$6))</f>
        <v/>
      </c>
      <c r="G294" s="48" t="str">
        <f t="shared" si="4"/>
        <v/>
      </c>
    </row>
    <row r="295" spans="1:7" ht="16" x14ac:dyDescent="0.2">
      <c r="A295" s="50"/>
      <c r="B295" s="47"/>
      <c r="C295" s="47"/>
      <c r="D295" s="47"/>
      <c r="E295" s="47"/>
      <c r="F295" s="52" t="str">
        <f>IF(E295="","",E295*IF(AND(A295&lt;&gt;"",Settings!$C$10&lt;&gt;"",YEAR(A295)=Settings!$C$5,MONTH(A295)&gt;=Settings!$C$10),Settings!$C$9,Settings!$C$6))</f>
        <v/>
      </c>
      <c r="G295" s="48" t="str">
        <f t="shared" si="4"/>
        <v/>
      </c>
    </row>
    <row r="296" spans="1:7" ht="16" x14ac:dyDescent="0.2">
      <c r="A296" s="50"/>
      <c r="B296" s="47"/>
      <c r="C296" s="47"/>
      <c r="D296" s="47"/>
      <c r="E296" s="47"/>
      <c r="F296" s="52" t="str">
        <f>IF(E296="","",E296*IF(AND(A296&lt;&gt;"",Settings!$C$10&lt;&gt;"",YEAR(A296)=Settings!$C$5,MONTH(A296)&gt;=Settings!$C$10),Settings!$C$9,Settings!$C$6))</f>
        <v/>
      </c>
      <c r="G296" s="48" t="str">
        <f t="shared" si="4"/>
        <v/>
      </c>
    </row>
    <row r="297" spans="1:7" ht="16" x14ac:dyDescent="0.2">
      <c r="A297" s="50"/>
      <c r="B297" s="47"/>
      <c r="C297" s="47"/>
      <c r="D297" s="47"/>
      <c r="E297" s="47"/>
      <c r="F297" s="52" t="str">
        <f>IF(E297="","",E297*IF(AND(A297&lt;&gt;"",Settings!$C$10&lt;&gt;"",YEAR(A297)=Settings!$C$5,MONTH(A297)&gt;=Settings!$C$10),Settings!$C$9,Settings!$C$6))</f>
        <v/>
      </c>
      <c r="G297" s="48" t="str">
        <f t="shared" si="4"/>
        <v/>
      </c>
    </row>
    <row r="298" spans="1:7" ht="16" x14ac:dyDescent="0.2">
      <c r="A298" s="50"/>
      <c r="B298" s="47"/>
      <c r="C298" s="47"/>
      <c r="D298" s="47"/>
      <c r="E298" s="47"/>
      <c r="F298" s="52" t="str">
        <f>IF(E298="","",E298*IF(AND(A298&lt;&gt;"",Settings!$C$10&lt;&gt;"",YEAR(A298)=Settings!$C$5,MONTH(A298)&gt;=Settings!$C$10),Settings!$C$9,Settings!$C$6))</f>
        <v/>
      </c>
      <c r="G298" s="48" t="str">
        <f t="shared" si="4"/>
        <v/>
      </c>
    </row>
    <row r="299" spans="1:7" ht="16" x14ac:dyDescent="0.2">
      <c r="A299" s="50"/>
      <c r="B299" s="47"/>
      <c r="C299" s="47"/>
      <c r="D299" s="47"/>
      <c r="E299" s="47"/>
      <c r="F299" s="52" t="str">
        <f>IF(E299="","",E299*IF(AND(A299&lt;&gt;"",Settings!$C$10&lt;&gt;"",YEAR(A299)=Settings!$C$5,MONTH(A299)&gt;=Settings!$C$10),Settings!$C$9,Settings!$C$6))</f>
        <v/>
      </c>
      <c r="G299" s="48" t="str">
        <f t="shared" si="4"/>
        <v/>
      </c>
    </row>
    <row r="300" spans="1:7" ht="16" x14ac:dyDescent="0.2">
      <c r="A300" s="50"/>
      <c r="B300" s="47"/>
      <c r="C300" s="47"/>
      <c r="D300" s="47"/>
      <c r="E300" s="47"/>
      <c r="F300" s="52" t="str">
        <f>IF(E300="","",E300*IF(AND(A300&lt;&gt;"",Settings!$C$10&lt;&gt;"",YEAR(A300)=Settings!$C$5,MONTH(A300)&gt;=Settings!$C$10),Settings!$C$9,Settings!$C$6))</f>
        <v/>
      </c>
      <c r="G300" s="48" t="str">
        <f t="shared" si="4"/>
        <v/>
      </c>
    </row>
    <row r="301" spans="1:7" ht="16" x14ac:dyDescent="0.2">
      <c r="A301" s="50"/>
      <c r="B301" s="47"/>
      <c r="C301" s="47"/>
      <c r="D301" s="47"/>
      <c r="E301" s="47"/>
      <c r="F301" s="52" t="str">
        <f>IF(E301="","",E301*IF(AND(A301&lt;&gt;"",Settings!$C$10&lt;&gt;"",YEAR(A301)=Settings!$C$5,MONTH(A301)&gt;=Settings!$C$10),Settings!$C$9,Settings!$C$6))</f>
        <v/>
      </c>
      <c r="G301" s="48" t="str">
        <f t="shared" si="4"/>
        <v/>
      </c>
    </row>
    <row r="302" spans="1:7" ht="16" x14ac:dyDescent="0.2">
      <c r="A302" s="50"/>
      <c r="B302" s="47"/>
      <c r="C302" s="47"/>
      <c r="D302" s="47"/>
      <c r="E302" s="47"/>
      <c r="F302" s="52" t="str">
        <f>IF(E302="","",E302*IF(AND(A302&lt;&gt;"",Settings!$C$10&lt;&gt;"",YEAR(A302)=Settings!$C$5,MONTH(A302)&gt;=Settings!$C$10),Settings!$C$9,Settings!$C$6))</f>
        <v/>
      </c>
      <c r="G302" s="48" t="str">
        <f t="shared" si="4"/>
        <v/>
      </c>
    </row>
    <row r="303" spans="1:7" ht="16" x14ac:dyDescent="0.2">
      <c r="A303" s="50"/>
      <c r="B303" s="47"/>
      <c r="C303" s="47"/>
      <c r="D303" s="47"/>
      <c r="E303" s="47"/>
      <c r="F303" s="52" t="str">
        <f>IF(E303="","",E303*IF(AND(A303&lt;&gt;"",Settings!$C$10&lt;&gt;"",YEAR(A303)=Settings!$C$5,MONTH(A303)&gt;=Settings!$C$10),Settings!$C$9,Settings!$C$6))</f>
        <v/>
      </c>
      <c r="G303" s="48" t="str">
        <f t="shared" si="4"/>
        <v/>
      </c>
    </row>
    <row r="304" spans="1:7" ht="16" x14ac:dyDescent="0.2">
      <c r="A304" s="50"/>
      <c r="B304" s="47"/>
      <c r="C304" s="47"/>
      <c r="D304" s="47"/>
      <c r="E304" s="47"/>
      <c r="F304" s="52" t="str">
        <f>IF(E304="","",E304*IF(AND(A304&lt;&gt;"",Settings!$C$10&lt;&gt;"",YEAR(A304)=Settings!$C$5,MONTH(A304)&gt;=Settings!$C$10),Settings!$C$9,Settings!$C$6))</f>
        <v/>
      </c>
      <c r="G304" s="48" t="str">
        <f t="shared" si="4"/>
        <v/>
      </c>
    </row>
    <row r="305" spans="1:7" ht="16" x14ac:dyDescent="0.2">
      <c r="A305" s="50"/>
      <c r="B305" s="47"/>
      <c r="C305" s="47"/>
      <c r="D305" s="47"/>
      <c r="E305" s="47"/>
      <c r="F305" s="52" t="str">
        <f>IF(E305="","",E305*IF(AND(A305&lt;&gt;"",Settings!$C$10&lt;&gt;"",YEAR(A305)=Settings!$C$5,MONTH(A305)&gt;=Settings!$C$10),Settings!$C$9,Settings!$C$6))</f>
        <v/>
      </c>
      <c r="G305" s="48" t="str">
        <f t="shared" si="4"/>
        <v/>
      </c>
    </row>
    <row r="306" spans="1:7" ht="16" x14ac:dyDescent="0.2">
      <c r="A306" s="50"/>
      <c r="B306" s="47"/>
      <c r="C306" s="47"/>
      <c r="D306" s="47"/>
      <c r="E306" s="47"/>
      <c r="F306" s="52" t="str">
        <f>IF(E306="","",E306*IF(AND(A306&lt;&gt;"",Settings!$C$10&lt;&gt;"",YEAR(A306)=Settings!$C$5,MONTH(A306)&gt;=Settings!$C$10),Settings!$C$9,Settings!$C$6))</f>
        <v/>
      </c>
      <c r="G306" s="48" t="str">
        <f t="shared" si="4"/>
        <v/>
      </c>
    </row>
    <row r="307" spans="1:7" ht="16" x14ac:dyDescent="0.2">
      <c r="A307" s="50"/>
      <c r="B307" s="47"/>
      <c r="C307" s="47"/>
      <c r="D307" s="47"/>
      <c r="E307" s="47"/>
      <c r="F307" s="52" t="str">
        <f>IF(E307="","",E307*IF(AND(A307&lt;&gt;"",Settings!$C$10&lt;&gt;"",YEAR(A307)=Settings!$C$5,MONTH(A307)&gt;=Settings!$C$10),Settings!$C$9,Settings!$C$6))</f>
        <v/>
      </c>
      <c r="G307" s="48" t="str">
        <f t="shared" si="4"/>
        <v/>
      </c>
    </row>
    <row r="308" spans="1:7" ht="16" x14ac:dyDescent="0.2">
      <c r="A308" s="50"/>
      <c r="B308" s="47"/>
      <c r="C308" s="47"/>
      <c r="D308" s="47"/>
      <c r="E308" s="47"/>
      <c r="F308" s="52" t="str">
        <f>IF(E308="","",E308*IF(AND(A308&lt;&gt;"",Settings!$C$10&lt;&gt;"",YEAR(A308)=Settings!$C$5,MONTH(A308)&gt;=Settings!$C$10),Settings!$C$9,Settings!$C$6))</f>
        <v/>
      </c>
      <c r="G308" s="48" t="str">
        <f t="shared" si="4"/>
        <v/>
      </c>
    </row>
    <row r="309" spans="1:7" ht="16" x14ac:dyDescent="0.2">
      <c r="A309" s="50"/>
      <c r="B309" s="47"/>
      <c r="C309" s="47"/>
      <c r="D309" s="47"/>
      <c r="E309" s="47"/>
      <c r="F309" s="52" t="str">
        <f>IF(E309="","",E309*IF(AND(A309&lt;&gt;"",Settings!$C$10&lt;&gt;"",YEAR(A309)=Settings!$C$5,MONTH(A309)&gt;=Settings!$C$10),Settings!$C$9,Settings!$C$6))</f>
        <v/>
      </c>
      <c r="G309" s="48" t="str">
        <f t="shared" si="4"/>
        <v/>
      </c>
    </row>
    <row r="310" spans="1:7" ht="16" x14ac:dyDescent="0.2">
      <c r="A310" s="50"/>
      <c r="B310" s="47"/>
      <c r="C310" s="47"/>
      <c r="D310" s="47"/>
      <c r="E310" s="47"/>
      <c r="F310" s="52" t="str">
        <f>IF(E310="","",E310*IF(AND(A310&lt;&gt;"",Settings!$C$10&lt;&gt;"",YEAR(A310)=Settings!$C$5,MONTH(A310)&gt;=Settings!$C$10),Settings!$C$9,Settings!$C$6))</f>
        <v/>
      </c>
      <c r="G310" s="48" t="str">
        <f t="shared" si="4"/>
        <v/>
      </c>
    </row>
    <row r="311" spans="1:7" ht="16" x14ac:dyDescent="0.2">
      <c r="A311" s="50"/>
      <c r="B311" s="47"/>
      <c r="C311" s="47"/>
      <c r="D311" s="47"/>
      <c r="E311" s="47"/>
      <c r="F311" s="52" t="str">
        <f>IF(E311="","",E311*IF(AND(A311&lt;&gt;"",Settings!$C$10&lt;&gt;"",YEAR(A311)=Settings!$C$5,MONTH(A311)&gt;=Settings!$C$10),Settings!$C$9,Settings!$C$6))</f>
        <v/>
      </c>
      <c r="G311" s="48" t="str">
        <f t="shared" si="4"/>
        <v/>
      </c>
    </row>
    <row r="312" spans="1:7" ht="16" x14ac:dyDescent="0.2">
      <c r="A312" s="50"/>
      <c r="B312" s="47"/>
      <c r="C312" s="47"/>
      <c r="D312" s="47"/>
      <c r="E312" s="47"/>
      <c r="F312" s="52" t="str">
        <f>IF(E312="","",E312*IF(AND(A312&lt;&gt;"",Settings!$C$10&lt;&gt;"",YEAR(A312)=Settings!$C$5,MONTH(A312)&gt;=Settings!$C$10),Settings!$C$9,Settings!$C$6))</f>
        <v/>
      </c>
      <c r="G312" s="48" t="str">
        <f t="shared" si="4"/>
        <v/>
      </c>
    </row>
    <row r="313" spans="1:7" ht="16" x14ac:dyDescent="0.2">
      <c r="A313" s="50"/>
      <c r="B313" s="47"/>
      <c r="C313" s="47"/>
      <c r="D313" s="47"/>
      <c r="E313" s="47"/>
      <c r="F313" s="52" t="str">
        <f>IF(E313="","",E313*IF(AND(A313&lt;&gt;"",Settings!$C$10&lt;&gt;"",YEAR(A313)=Settings!$C$5,MONTH(A313)&gt;=Settings!$C$10),Settings!$C$9,Settings!$C$6))</f>
        <v/>
      </c>
      <c r="G313" s="48" t="str">
        <f t="shared" si="4"/>
        <v/>
      </c>
    </row>
    <row r="314" spans="1:7" ht="16" x14ac:dyDescent="0.2">
      <c r="A314" s="50"/>
      <c r="B314" s="47"/>
      <c r="C314" s="47"/>
      <c r="D314" s="47"/>
      <c r="E314" s="47"/>
      <c r="F314" s="52" t="str">
        <f>IF(E314="","",E314*IF(AND(A314&lt;&gt;"",Settings!$C$10&lt;&gt;"",YEAR(A314)=Settings!$C$5,MONTH(A314)&gt;=Settings!$C$10),Settings!$C$9,Settings!$C$6))</f>
        <v/>
      </c>
      <c r="G314" s="48" t="str">
        <f t="shared" si="4"/>
        <v/>
      </c>
    </row>
    <row r="315" spans="1:7" ht="16" x14ac:dyDescent="0.2">
      <c r="A315" s="50"/>
      <c r="B315" s="47"/>
      <c r="C315" s="47"/>
      <c r="D315" s="47"/>
      <c r="E315" s="47"/>
      <c r="F315" s="52" t="str">
        <f>IF(E315="","",E315*IF(AND(A315&lt;&gt;"",Settings!$C$10&lt;&gt;"",YEAR(A315)=Settings!$C$5,MONTH(A315)&gt;=Settings!$C$10),Settings!$C$9,Settings!$C$6))</f>
        <v/>
      </c>
      <c r="G315" s="48" t="str">
        <f t="shared" si="4"/>
        <v/>
      </c>
    </row>
    <row r="316" spans="1:7" ht="16" x14ac:dyDescent="0.2">
      <c r="A316" s="50"/>
      <c r="B316" s="47"/>
      <c r="C316" s="47"/>
      <c r="D316" s="47"/>
      <c r="E316" s="47"/>
      <c r="F316" s="52" t="str">
        <f>IF(E316="","",E316*IF(AND(A316&lt;&gt;"",Settings!$C$10&lt;&gt;"",YEAR(A316)=Settings!$C$5,MONTH(A316)&gt;=Settings!$C$10),Settings!$C$9,Settings!$C$6))</f>
        <v/>
      </c>
      <c r="G316" s="48" t="str">
        <f t="shared" si="4"/>
        <v/>
      </c>
    </row>
    <row r="317" spans="1:7" ht="16" x14ac:dyDescent="0.2">
      <c r="A317" s="50"/>
      <c r="B317" s="47"/>
      <c r="C317" s="47"/>
      <c r="D317" s="47"/>
      <c r="E317" s="47"/>
      <c r="F317" s="52" t="str">
        <f>IF(E317="","",E317*IF(AND(A317&lt;&gt;"",Settings!$C$10&lt;&gt;"",YEAR(A317)=Settings!$C$5,MONTH(A317)&gt;=Settings!$C$10),Settings!$C$9,Settings!$C$6))</f>
        <v/>
      </c>
      <c r="G317" s="48" t="str">
        <f t="shared" si="4"/>
        <v/>
      </c>
    </row>
    <row r="318" spans="1:7" ht="16" x14ac:dyDescent="0.2">
      <c r="A318" s="50"/>
      <c r="B318" s="47"/>
      <c r="C318" s="47"/>
      <c r="D318" s="47"/>
      <c r="E318" s="47"/>
      <c r="F318" s="52" t="str">
        <f>IF(E318="","",E318*IF(AND(A318&lt;&gt;"",Settings!$C$10&lt;&gt;"",YEAR(A318)=Settings!$C$5,MONTH(A318)&gt;=Settings!$C$10),Settings!$C$9,Settings!$C$6))</f>
        <v/>
      </c>
      <c r="G318" s="48" t="str">
        <f t="shared" si="4"/>
        <v/>
      </c>
    </row>
    <row r="319" spans="1:7" ht="16" x14ac:dyDescent="0.2">
      <c r="A319" s="50"/>
      <c r="B319" s="47"/>
      <c r="C319" s="47"/>
      <c r="D319" s="47"/>
      <c r="E319" s="47"/>
      <c r="F319" s="52" t="str">
        <f>IF(E319="","",E319*IF(AND(A319&lt;&gt;"",Settings!$C$10&lt;&gt;"",YEAR(A319)=Settings!$C$5,MONTH(A319)&gt;=Settings!$C$10),Settings!$C$9,Settings!$C$6))</f>
        <v/>
      </c>
      <c r="G319" s="48" t="str">
        <f t="shared" si="4"/>
        <v/>
      </c>
    </row>
    <row r="320" spans="1:7" ht="16" x14ac:dyDescent="0.2">
      <c r="A320" s="50"/>
      <c r="B320" s="47"/>
      <c r="C320" s="47"/>
      <c r="D320" s="47"/>
      <c r="E320" s="47"/>
      <c r="F320" s="52" t="str">
        <f>IF(E320="","",E320*IF(AND(A320&lt;&gt;"",Settings!$C$10&lt;&gt;"",YEAR(A320)=Settings!$C$5,MONTH(A320)&gt;=Settings!$C$10),Settings!$C$9,Settings!$C$6))</f>
        <v/>
      </c>
      <c r="G320" s="48" t="str">
        <f t="shared" si="4"/>
        <v/>
      </c>
    </row>
    <row r="321" spans="1:7" ht="16" x14ac:dyDescent="0.2">
      <c r="A321" s="50"/>
      <c r="B321" s="47"/>
      <c r="C321" s="47"/>
      <c r="D321" s="47"/>
      <c r="E321" s="47"/>
      <c r="F321" s="52" t="str">
        <f>IF(E321="","",E321*IF(AND(A321&lt;&gt;"",Settings!$C$10&lt;&gt;"",YEAR(A321)=Settings!$C$5,MONTH(A321)&gt;=Settings!$C$10),Settings!$C$9,Settings!$C$6))</f>
        <v/>
      </c>
      <c r="G321" s="48" t="str">
        <f t="shared" si="4"/>
        <v/>
      </c>
    </row>
    <row r="322" spans="1:7" ht="16" x14ac:dyDescent="0.2">
      <c r="A322" s="50"/>
      <c r="B322" s="47"/>
      <c r="C322" s="47"/>
      <c r="D322" s="47"/>
      <c r="E322" s="47"/>
      <c r="F322" s="52" t="str">
        <f>IF(E322="","",E322*IF(AND(A322&lt;&gt;"",Settings!$C$10&lt;&gt;"",YEAR(A322)=Settings!$C$5,MONTH(A322)&gt;=Settings!$C$10),Settings!$C$9,Settings!$C$6))</f>
        <v/>
      </c>
      <c r="G322" s="48" t="str">
        <f t="shared" si="4"/>
        <v/>
      </c>
    </row>
    <row r="323" spans="1:7" ht="16" x14ac:dyDescent="0.2">
      <c r="A323" s="50"/>
      <c r="B323" s="47"/>
      <c r="C323" s="47"/>
      <c r="D323" s="47"/>
      <c r="E323" s="47"/>
      <c r="F323" s="52" t="str">
        <f>IF(E323="","",E323*IF(AND(A323&lt;&gt;"",Settings!$C$10&lt;&gt;"",YEAR(A323)=Settings!$C$5,MONTH(A323)&gt;=Settings!$C$10),Settings!$C$9,Settings!$C$6))</f>
        <v/>
      </c>
      <c r="G323" s="48" t="str">
        <f t="shared" si="4"/>
        <v/>
      </c>
    </row>
    <row r="324" spans="1:7" ht="16" x14ac:dyDescent="0.2">
      <c r="A324" s="50"/>
      <c r="B324" s="47"/>
      <c r="C324" s="47"/>
      <c r="D324" s="47"/>
      <c r="E324" s="47"/>
      <c r="F324" s="52" t="str">
        <f>IF(E324="","",E324*IF(AND(A324&lt;&gt;"",Settings!$C$10&lt;&gt;"",YEAR(A324)=Settings!$C$5,MONTH(A324)&gt;=Settings!$C$10),Settings!$C$9,Settings!$C$6))</f>
        <v/>
      </c>
      <c r="G324" s="48" t="str">
        <f t="shared" si="4"/>
        <v/>
      </c>
    </row>
    <row r="325" spans="1:7" ht="16" x14ac:dyDescent="0.2">
      <c r="A325" s="50"/>
      <c r="B325" s="47"/>
      <c r="C325" s="47"/>
      <c r="D325" s="47"/>
      <c r="E325" s="47"/>
      <c r="F325" s="52" t="str">
        <f>IF(E325="","",E325*IF(AND(A325&lt;&gt;"",Settings!$C$10&lt;&gt;"",YEAR(A325)=Settings!$C$5,MONTH(A325)&gt;=Settings!$C$10),Settings!$C$9,Settings!$C$6))</f>
        <v/>
      </c>
      <c r="G325" s="48" t="str">
        <f t="shared" si="4"/>
        <v/>
      </c>
    </row>
    <row r="326" spans="1:7" ht="16" x14ac:dyDescent="0.2">
      <c r="A326" s="50"/>
      <c r="B326" s="47"/>
      <c r="C326" s="47"/>
      <c r="D326" s="47"/>
      <c r="E326" s="47"/>
      <c r="F326" s="52" t="str">
        <f>IF(E326="","",E326*IF(AND(A326&lt;&gt;"",Settings!$C$10&lt;&gt;"",YEAR(A326)=Settings!$C$5,MONTH(A326)&gt;=Settings!$C$10),Settings!$C$9,Settings!$C$6))</f>
        <v/>
      </c>
      <c r="G326" s="48" t="str">
        <f t="shared" si="4"/>
        <v/>
      </c>
    </row>
    <row r="327" spans="1:7" ht="16" x14ac:dyDescent="0.2">
      <c r="A327" s="50"/>
      <c r="B327" s="47"/>
      <c r="C327" s="47"/>
      <c r="D327" s="47"/>
      <c r="E327" s="47"/>
      <c r="F327" s="52" t="str">
        <f>IF(E327="","",E327*IF(AND(A327&lt;&gt;"",Settings!$C$10&lt;&gt;"",YEAR(A327)=Settings!$C$5,MONTH(A327)&gt;=Settings!$C$10),Settings!$C$9,Settings!$C$6))</f>
        <v/>
      </c>
      <c r="G327" s="48" t="str">
        <f t="shared" ref="G327:G390" si="5">IF(OR(A327="",E327=""),"",YEAR(A327))</f>
        <v/>
      </c>
    </row>
    <row r="328" spans="1:7" ht="16" x14ac:dyDescent="0.2">
      <c r="A328" s="50"/>
      <c r="B328" s="47"/>
      <c r="C328" s="47"/>
      <c r="D328" s="47"/>
      <c r="E328" s="47"/>
      <c r="F328" s="52" t="str">
        <f>IF(E328="","",E328*IF(AND(A328&lt;&gt;"",Settings!$C$10&lt;&gt;"",YEAR(A328)=Settings!$C$5,MONTH(A328)&gt;=Settings!$C$10),Settings!$C$9,Settings!$C$6))</f>
        <v/>
      </c>
      <c r="G328" s="48" t="str">
        <f t="shared" si="5"/>
        <v/>
      </c>
    </row>
    <row r="329" spans="1:7" ht="16" x14ac:dyDescent="0.2">
      <c r="A329" s="50"/>
      <c r="B329" s="47"/>
      <c r="C329" s="47"/>
      <c r="D329" s="47"/>
      <c r="E329" s="47"/>
      <c r="F329" s="52" t="str">
        <f>IF(E329="","",E329*IF(AND(A329&lt;&gt;"",Settings!$C$10&lt;&gt;"",YEAR(A329)=Settings!$C$5,MONTH(A329)&gt;=Settings!$C$10),Settings!$C$9,Settings!$C$6))</f>
        <v/>
      </c>
      <c r="G329" s="48" t="str">
        <f t="shared" si="5"/>
        <v/>
      </c>
    </row>
    <row r="330" spans="1:7" ht="16" x14ac:dyDescent="0.2">
      <c r="A330" s="50"/>
      <c r="B330" s="47"/>
      <c r="C330" s="47"/>
      <c r="D330" s="47"/>
      <c r="E330" s="47"/>
      <c r="F330" s="52" t="str">
        <f>IF(E330="","",E330*IF(AND(A330&lt;&gt;"",Settings!$C$10&lt;&gt;"",YEAR(A330)=Settings!$C$5,MONTH(A330)&gt;=Settings!$C$10),Settings!$C$9,Settings!$C$6))</f>
        <v/>
      </c>
      <c r="G330" s="48" t="str">
        <f t="shared" si="5"/>
        <v/>
      </c>
    </row>
    <row r="331" spans="1:7" ht="16" x14ac:dyDescent="0.2">
      <c r="A331" s="50"/>
      <c r="B331" s="47"/>
      <c r="C331" s="47"/>
      <c r="D331" s="47"/>
      <c r="E331" s="47"/>
      <c r="F331" s="52" t="str">
        <f>IF(E331="","",E331*IF(AND(A331&lt;&gt;"",Settings!$C$10&lt;&gt;"",YEAR(A331)=Settings!$C$5,MONTH(A331)&gt;=Settings!$C$10),Settings!$C$9,Settings!$C$6))</f>
        <v/>
      </c>
      <c r="G331" s="48" t="str">
        <f t="shared" si="5"/>
        <v/>
      </c>
    </row>
    <row r="332" spans="1:7" ht="16" x14ac:dyDescent="0.2">
      <c r="A332" s="50"/>
      <c r="B332" s="47"/>
      <c r="C332" s="47"/>
      <c r="D332" s="47"/>
      <c r="E332" s="47"/>
      <c r="F332" s="52" t="str">
        <f>IF(E332="","",E332*IF(AND(A332&lt;&gt;"",Settings!$C$10&lt;&gt;"",YEAR(A332)=Settings!$C$5,MONTH(A332)&gt;=Settings!$C$10),Settings!$C$9,Settings!$C$6))</f>
        <v/>
      </c>
      <c r="G332" s="48" t="str">
        <f t="shared" si="5"/>
        <v/>
      </c>
    </row>
    <row r="333" spans="1:7" ht="16" x14ac:dyDescent="0.2">
      <c r="A333" s="50"/>
      <c r="B333" s="47"/>
      <c r="C333" s="47"/>
      <c r="D333" s="47"/>
      <c r="E333" s="47"/>
      <c r="F333" s="52" t="str">
        <f>IF(E333="","",E333*IF(AND(A333&lt;&gt;"",Settings!$C$10&lt;&gt;"",YEAR(A333)=Settings!$C$5,MONTH(A333)&gt;=Settings!$C$10),Settings!$C$9,Settings!$C$6))</f>
        <v/>
      </c>
      <c r="G333" s="48" t="str">
        <f t="shared" si="5"/>
        <v/>
      </c>
    </row>
    <row r="334" spans="1:7" ht="16" x14ac:dyDescent="0.2">
      <c r="A334" s="50"/>
      <c r="B334" s="47"/>
      <c r="C334" s="47"/>
      <c r="D334" s="47"/>
      <c r="E334" s="47"/>
      <c r="F334" s="52" t="str">
        <f>IF(E334="","",E334*IF(AND(A334&lt;&gt;"",Settings!$C$10&lt;&gt;"",YEAR(A334)=Settings!$C$5,MONTH(A334)&gt;=Settings!$C$10),Settings!$C$9,Settings!$C$6))</f>
        <v/>
      </c>
      <c r="G334" s="48" t="str">
        <f t="shared" si="5"/>
        <v/>
      </c>
    </row>
    <row r="335" spans="1:7" ht="16" x14ac:dyDescent="0.2">
      <c r="A335" s="50"/>
      <c r="B335" s="47"/>
      <c r="C335" s="47"/>
      <c r="D335" s="47"/>
      <c r="E335" s="47"/>
      <c r="F335" s="52" t="str">
        <f>IF(E335="","",E335*IF(AND(A335&lt;&gt;"",Settings!$C$10&lt;&gt;"",YEAR(A335)=Settings!$C$5,MONTH(A335)&gt;=Settings!$C$10),Settings!$C$9,Settings!$C$6))</f>
        <v/>
      </c>
      <c r="G335" s="48" t="str">
        <f t="shared" si="5"/>
        <v/>
      </c>
    </row>
    <row r="336" spans="1:7" ht="16" x14ac:dyDescent="0.2">
      <c r="A336" s="50"/>
      <c r="B336" s="47"/>
      <c r="C336" s="47"/>
      <c r="D336" s="47"/>
      <c r="E336" s="47"/>
      <c r="F336" s="52" t="str">
        <f>IF(E336="","",E336*IF(AND(A336&lt;&gt;"",Settings!$C$10&lt;&gt;"",YEAR(A336)=Settings!$C$5,MONTH(A336)&gt;=Settings!$C$10),Settings!$C$9,Settings!$C$6))</f>
        <v/>
      </c>
      <c r="G336" s="48" t="str">
        <f t="shared" si="5"/>
        <v/>
      </c>
    </row>
    <row r="337" spans="1:7" ht="16" x14ac:dyDescent="0.2">
      <c r="A337" s="50"/>
      <c r="B337" s="47"/>
      <c r="C337" s="47"/>
      <c r="D337" s="47"/>
      <c r="E337" s="47"/>
      <c r="F337" s="52" t="str">
        <f>IF(E337="","",E337*IF(AND(A337&lt;&gt;"",Settings!$C$10&lt;&gt;"",YEAR(A337)=Settings!$C$5,MONTH(A337)&gt;=Settings!$C$10),Settings!$C$9,Settings!$C$6))</f>
        <v/>
      </c>
      <c r="G337" s="48" t="str">
        <f t="shared" si="5"/>
        <v/>
      </c>
    </row>
    <row r="338" spans="1:7" ht="16" x14ac:dyDescent="0.2">
      <c r="A338" s="50"/>
      <c r="B338" s="47"/>
      <c r="C338" s="47"/>
      <c r="D338" s="47"/>
      <c r="E338" s="47"/>
      <c r="F338" s="52" t="str">
        <f>IF(E338="","",E338*IF(AND(A338&lt;&gt;"",Settings!$C$10&lt;&gt;"",YEAR(A338)=Settings!$C$5,MONTH(A338)&gt;=Settings!$C$10),Settings!$C$9,Settings!$C$6))</f>
        <v/>
      </c>
      <c r="G338" s="48" t="str">
        <f t="shared" si="5"/>
        <v/>
      </c>
    </row>
    <row r="339" spans="1:7" ht="16" x14ac:dyDescent="0.2">
      <c r="A339" s="50"/>
      <c r="B339" s="47"/>
      <c r="C339" s="47"/>
      <c r="D339" s="47"/>
      <c r="E339" s="47"/>
      <c r="F339" s="52" t="str">
        <f>IF(E339="","",E339*IF(AND(A339&lt;&gt;"",Settings!$C$10&lt;&gt;"",YEAR(A339)=Settings!$C$5,MONTH(A339)&gt;=Settings!$C$10),Settings!$C$9,Settings!$C$6))</f>
        <v/>
      </c>
      <c r="G339" s="48" t="str">
        <f t="shared" si="5"/>
        <v/>
      </c>
    </row>
    <row r="340" spans="1:7" ht="16" x14ac:dyDescent="0.2">
      <c r="A340" s="50"/>
      <c r="B340" s="47"/>
      <c r="C340" s="47"/>
      <c r="D340" s="47"/>
      <c r="E340" s="47"/>
      <c r="F340" s="52" t="str">
        <f>IF(E340="","",E340*IF(AND(A340&lt;&gt;"",Settings!$C$10&lt;&gt;"",YEAR(A340)=Settings!$C$5,MONTH(A340)&gt;=Settings!$C$10),Settings!$C$9,Settings!$C$6))</f>
        <v/>
      </c>
      <c r="G340" s="48" t="str">
        <f t="shared" si="5"/>
        <v/>
      </c>
    </row>
    <row r="341" spans="1:7" ht="16" x14ac:dyDescent="0.2">
      <c r="A341" s="50"/>
      <c r="B341" s="47"/>
      <c r="C341" s="47"/>
      <c r="D341" s="47"/>
      <c r="E341" s="47"/>
      <c r="F341" s="52" t="str">
        <f>IF(E341="","",E341*IF(AND(A341&lt;&gt;"",Settings!$C$10&lt;&gt;"",YEAR(A341)=Settings!$C$5,MONTH(A341)&gt;=Settings!$C$10),Settings!$C$9,Settings!$C$6))</f>
        <v/>
      </c>
      <c r="G341" s="48" t="str">
        <f t="shared" si="5"/>
        <v/>
      </c>
    </row>
    <row r="342" spans="1:7" ht="16" x14ac:dyDescent="0.2">
      <c r="A342" s="50"/>
      <c r="B342" s="47"/>
      <c r="C342" s="47"/>
      <c r="D342" s="47"/>
      <c r="E342" s="47"/>
      <c r="F342" s="52" t="str">
        <f>IF(E342="","",E342*IF(AND(A342&lt;&gt;"",Settings!$C$10&lt;&gt;"",YEAR(A342)=Settings!$C$5,MONTH(A342)&gt;=Settings!$C$10),Settings!$C$9,Settings!$C$6))</f>
        <v/>
      </c>
      <c r="G342" s="48" t="str">
        <f t="shared" si="5"/>
        <v/>
      </c>
    </row>
    <row r="343" spans="1:7" ht="16" x14ac:dyDescent="0.2">
      <c r="A343" s="50"/>
      <c r="B343" s="47"/>
      <c r="C343" s="47"/>
      <c r="D343" s="47"/>
      <c r="E343" s="47"/>
      <c r="F343" s="52" t="str">
        <f>IF(E343="","",E343*IF(AND(A343&lt;&gt;"",Settings!$C$10&lt;&gt;"",YEAR(A343)=Settings!$C$5,MONTH(A343)&gt;=Settings!$C$10),Settings!$C$9,Settings!$C$6))</f>
        <v/>
      </c>
      <c r="G343" s="48" t="str">
        <f t="shared" si="5"/>
        <v/>
      </c>
    </row>
    <row r="344" spans="1:7" ht="16" x14ac:dyDescent="0.2">
      <c r="A344" s="50"/>
      <c r="B344" s="47"/>
      <c r="C344" s="47"/>
      <c r="D344" s="47"/>
      <c r="E344" s="47"/>
      <c r="F344" s="52" t="str">
        <f>IF(E344="","",E344*IF(AND(A344&lt;&gt;"",Settings!$C$10&lt;&gt;"",YEAR(A344)=Settings!$C$5,MONTH(A344)&gt;=Settings!$C$10),Settings!$C$9,Settings!$C$6))</f>
        <v/>
      </c>
      <c r="G344" s="48" t="str">
        <f t="shared" si="5"/>
        <v/>
      </c>
    </row>
    <row r="345" spans="1:7" ht="16" x14ac:dyDescent="0.2">
      <c r="A345" s="50"/>
      <c r="B345" s="47"/>
      <c r="C345" s="47"/>
      <c r="D345" s="47"/>
      <c r="E345" s="47"/>
      <c r="F345" s="52" t="str">
        <f>IF(E345="","",E345*IF(AND(A345&lt;&gt;"",Settings!$C$10&lt;&gt;"",YEAR(A345)=Settings!$C$5,MONTH(A345)&gt;=Settings!$C$10),Settings!$C$9,Settings!$C$6))</f>
        <v/>
      </c>
      <c r="G345" s="48" t="str">
        <f t="shared" si="5"/>
        <v/>
      </c>
    </row>
    <row r="346" spans="1:7" ht="16" x14ac:dyDescent="0.2">
      <c r="A346" s="50"/>
      <c r="B346" s="47"/>
      <c r="C346" s="47"/>
      <c r="D346" s="47"/>
      <c r="E346" s="47"/>
      <c r="F346" s="52" t="str">
        <f>IF(E346="","",E346*IF(AND(A346&lt;&gt;"",Settings!$C$10&lt;&gt;"",YEAR(A346)=Settings!$C$5,MONTH(A346)&gt;=Settings!$C$10),Settings!$C$9,Settings!$C$6))</f>
        <v/>
      </c>
      <c r="G346" s="48" t="str">
        <f t="shared" si="5"/>
        <v/>
      </c>
    </row>
    <row r="347" spans="1:7" ht="16" x14ac:dyDescent="0.2">
      <c r="A347" s="50"/>
      <c r="B347" s="47"/>
      <c r="C347" s="47"/>
      <c r="D347" s="47"/>
      <c r="E347" s="47"/>
      <c r="F347" s="52" t="str">
        <f>IF(E347="","",E347*IF(AND(A347&lt;&gt;"",Settings!$C$10&lt;&gt;"",YEAR(A347)=Settings!$C$5,MONTH(A347)&gt;=Settings!$C$10),Settings!$C$9,Settings!$C$6))</f>
        <v/>
      </c>
      <c r="G347" s="48" t="str">
        <f t="shared" si="5"/>
        <v/>
      </c>
    </row>
    <row r="348" spans="1:7" ht="16" x14ac:dyDescent="0.2">
      <c r="A348" s="50"/>
      <c r="B348" s="47"/>
      <c r="C348" s="47"/>
      <c r="D348" s="47"/>
      <c r="E348" s="47"/>
      <c r="F348" s="52" t="str">
        <f>IF(E348="","",E348*IF(AND(A348&lt;&gt;"",Settings!$C$10&lt;&gt;"",YEAR(A348)=Settings!$C$5,MONTH(A348)&gt;=Settings!$C$10),Settings!$C$9,Settings!$C$6))</f>
        <v/>
      </c>
      <c r="G348" s="48" t="str">
        <f t="shared" si="5"/>
        <v/>
      </c>
    </row>
    <row r="349" spans="1:7" ht="16" x14ac:dyDescent="0.2">
      <c r="A349" s="50"/>
      <c r="B349" s="47"/>
      <c r="C349" s="47"/>
      <c r="D349" s="47"/>
      <c r="E349" s="47"/>
      <c r="F349" s="52" t="str">
        <f>IF(E349="","",E349*IF(AND(A349&lt;&gt;"",Settings!$C$10&lt;&gt;"",YEAR(A349)=Settings!$C$5,MONTH(A349)&gt;=Settings!$C$10),Settings!$C$9,Settings!$C$6))</f>
        <v/>
      </c>
      <c r="G349" s="48" t="str">
        <f t="shared" si="5"/>
        <v/>
      </c>
    </row>
    <row r="350" spans="1:7" ht="16" x14ac:dyDescent="0.2">
      <c r="A350" s="50"/>
      <c r="B350" s="47"/>
      <c r="C350" s="47"/>
      <c r="D350" s="47"/>
      <c r="E350" s="47"/>
      <c r="F350" s="52" t="str">
        <f>IF(E350="","",E350*IF(AND(A350&lt;&gt;"",Settings!$C$10&lt;&gt;"",YEAR(A350)=Settings!$C$5,MONTH(A350)&gt;=Settings!$C$10),Settings!$C$9,Settings!$C$6))</f>
        <v/>
      </c>
      <c r="G350" s="48" t="str">
        <f t="shared" si="5"/>
        <v/>
      </c>
    </row>
    <row r="351" spans="1:7" ht="16" x14ac:dyDescent="0.2">
      <c r="A351" s="50"/>
      <c r="B351" s="47"/>
      <c r="C351" s="47"/>
      <c r="D351" s="47"/>
      <c r="E351" s="47"/>
      <c r="F351" s="52" t="str">
        <f>IF(E351="","",E351*IF(AND(A351&lt;&gt;"",Settings!$C$10&lt;&gt;"",YEAR(A351)=Settings!$C$5,MONTH(A351)&gt;=Settings!$C$10),Settings!$C$9,Settings!$C$6))</f>
        <v/>
      </c>
      <c r="G351" s="48" t="str">
        <f t="shared" si="5"/>
        <v/>
      </c>
    </row>
    <row r="352" spans="1:7" ht="16" x14ac:dyDescent="0.2">
      <c r="A352" s="50"/>
      <c r="B352" s="47"/>
      <c r="C352" s="47"/>
      <c r="D352" s="47"/>
      <c r="E352" s="47"/>
      <c r="F352" s="52" t="str">
        <f>IF(E352="","",E352*IF(AND(A352&lt;&gt;"",Settings!$C$10&lt;&gt;"",YEAR(A352)=Settings!$C$5,MONTH(A352)&gt;=Settings!$C$10),Settings!$C$9,Settings!$C$6))</f>
        <v/>
      </c>
      <c r="G352" s="48" t="str">
        <f t="shared" si="5"/>
        <v/>
      </c>
    </row>
    <row r="353" spans="1:7" ht="16" x14ac:dyDescent="0.2">
      <c r="A353" s="50"/>
      <c r="B353" s="47"/>
      <c r="C353" s="47"/>
      <c r="D353" s="47"/>
      <c r="E353" s="47"/>
      <c r="F353" s="52" t="str">
        <f>IF(E353="","",E353*IF(AND(A353&lt;&gt;"",Settings!$C$10&lt;&gt;"",YEAR(A353)=Settings!$C$5,MONTH(A353)&gt;=Settings!$C$10),Settings!$C$9,Settings!$C$6))</f>
        <v/>
      </c>
      <c r="G353" s="48" t="str">
        <f t="shared" si="5"/>
        <v/>
      </c>
    </row>
    <row r="354" spans="1:7" ht="16" x14ac:dyDescent="0.2">
      <c r="A354" s="50"/>
      <c r="B354" s="47"/>
      <c r="C354" s="47"/>
      <c r="D354" s="47"/>
      <c r="E354" s="47"/>
      <c r="F354" s="52" t="str">
        <f>IF(E354="","",E354*IF(AND(A354&lt;&gt;"",Settings!$C$10&lt;&gt;"",YEAR(A354)=Settings!$C$5,MONTH(A354)&gt;=Settings!$C$10),Settings!$C$9,Settings!$C$6))</f>
        <v/>
      </c>
      <c r="G354" s="48" t="str">
        <f t="shared" si="5"/>
        <v/>
      </c>
    </row>
    <row r="355" spans="1:7" ht="16" x14ac:dyDescent="0.2">
      <c r="A355" s="50"/>
      <c r="B355" s="47"/>
      <c r="C355" s="47"/>
      <c r="D355" s="47"/>
      <c r="E355" s="47"/>
      <c r="F355" s="52" t="str">
        <f>IF(E355="","",E355*IF(AND(A355&lt;&gt;"",Settings!$C$10&lt;&gt;"",YEAR(A355)=Settings!$C$5,MONTH(A355)&gt;=Settings!$C$10),Settings!$C$9,Settings!$C$6))</f>
        <v/>
      </c>
      <c r="G355" s="48" t="str">
        <f t="shared" si="5"/>
        <v/>
      </c>
    </row>
    <row r="356" spans="1:7" ht="16" x14ac:dyDescent="0.2">
      <c r="A356" s="50"/>
      <c r="B356" s="47"/>
      <c r="C356" s="47"/>
      <c r="D356" s="47"/>
      <c r="E356" s="47"/>
      <c r="F356" s="52" t="str">
        <f>IF(E356="","",E356*IF(AND(A356&lt;&gt;"",Settings!$C$10&lt;&gt;"",YEAR(A356)=Settings!$C$5,MONTH(A356)&gt;=Settings!$C$10),Settings!$C$9,Settings!$C$6))</f>
        <v/>
      </c>
      <c r="G356" s="48" t="str">
        <f t="shared" si="5"/>
        <v/>
      </c>
    </row>
    <row r="357" spans="1:7" ht="16" x14ac:dyDescent="0.2">
      <c r="A357" s="50"/>
      <c r="B357" s="47"/>
      <c r="C357" s="47"/>
      <c r="D357" s="47"/>
      <c r="E357" s="47"/>
      <c r="F357" s="52" t="str">
        <f>IF(E357="","",E357*IF(AND(A357&lt;&gt;"",Settings!$C$10&lt;&gt;"",YEAR(A357)=Settings!$C$5,MONTH(A357)&gt;=Settings!$C$10),Settings!$C$9,Settings!$C$6))</f>
        <v/>
      </c>
      <c r="G357" s="48" t="str">
        <f t="shared" si="5"/>
        <v/>
      </c>
    </row>
    <row r="358" spans="1:7" ht="16" x14ac:dyDescent="0.2">
      <c r="A358" s="50"/>
      <c r="B358" s="47"/>
      <c r="C358" s="47"/>
      <c r="D358" s="47"/>
      <c r="E358" s="47"/>
      <c r="F358" s="52" t="str">
        <f>IF(E358="","",E358*IF(AND(A358&lt;&gt;"",Settings!$C$10&lt;&gt;"",YEAR(A358)=Settings!$C$5,MONTH(A358)&gt;=Settings!$C$10),Settings!$C$9,Settings!$C$6))</f>
        <v/>
      </c>
      <c r="G358" s="48" t="str">
        <f t="shared" si="5"/>
        <v/>
      </c>
    </row>
    <row r="359" spans="1:7" ht="16" x14ac:dyDescent="0.2">
      <c r="A359" s="50"/>
      <c r="B359" s="47"/>
      <c r="C359" s="47"/>
      <c r="D359" s="47"/>
      <c r="E359" s="47"/>
      <c r="F359" s="52" t="str">
        <f>IF(E359="","",E359*IF(AND(A359&lt;&gt;"",Settings!$C$10&lt;&gt;"",YEAR(A359)=Settings!$C$5,MONTH(A359)&gt;=Settings!$C$10),Settings!$C$9,Settings!$C$6))</f>
        <v/>
      </c>
      <c r="G359" s="48" t="str">
        <f t="shared" si="5"/>
        <v/>
      </c>
    </row>
    <row r="360" spans="1:7" ht="16" x14ac:dyDescent="0.2">
      <c r="A360" s="50"/>
      <c r="B360" s="47"/>
      <c r="C360" s="47"/>
      <c r="D360" s="47"/>
      <c r="E360" s="47"/>
      <c r="F360" s="52" t="str">
        <f>IF(E360="","",E360*IF(AND(A360&lt;&gt;"",Settings!$C$10&lt;&gt;"",YEAR(A360)=Settings!$C$5,MONTH(A360)&gt;=Settings!$C$10),Settings!$C$9,Settings!$C$6))</f>
        <v/>
      </c>
      <c r="G360" s="48" t="str">
        <f t="shared" si="5"/>
        <v/>
      </c>
    </row>
    <row r="361" spans="1:7" ht="16" x14ac:dyDescent="0.2">
      <c r="A361" s="50"/>
      <c r="B361" s="47"/>
      <c r="C361" s="47"/>
      <c r="D361" s="47"/>
      <c r="E361" s="47"/>
      <c r="F361" s="52" t="str">
        <f>IF(E361="","",E361*IF(AND(A361&lt;&gt;"",Settings!$C$10&lt;&gt;"",YEAR(A361)=Settings!$C$5,MONTH(A361)&gt;=Settings!$C$10),Settings!$C$9,Settings!$C$6))</f>
        <v/>
      </c>
      <c r="G361" s="48" t="str">
        <f t="shared" si="5"/>
        <v/>
      </c>
    </row>
    <row r="362" spans="1:7" ht="16" x14ac:dyDescent="0.2">
      <c r="A362" s="50"/>
      <c r="B362" s="47"/>
      <c r="C362" s="47"/>
      <c r="D362" s="47"/>
      <c r="E362" s="47"/>
      <c r="F362" s="52" t="str">
        <f>IF(E362="","",E362*IF(AND(A362&lt;&gt;"",Settings!$C$10&lt;&gt;"",YEAR(A362)=Settings!$C$5,MONTH(A362)&gt;=Settings!$C$10),Settings!$C$9,Settings!$C$6))</f>
        <v/>
      </c>
      <c r="G362" s="48" t="str">
        <f t="shared" si="5"/>
        <v/>
      </c>
    </row>
    <row r="363" spans="1:7" ht="16" x14ac:dyDescent="0.2">
      <c r="A363" s="50"/>
      <c r="B363" s="47"/>
      <c r="C363" s="47"/>
      <c r="D363" s="47"/>
      <c r="E363" s="47"/>
      <c r="F363" s="52" t="str">
        <f>IF(E363="","",E363*IF(AND(A363&lt;&gt;"",Settings!$C$10&lt;&gt;"",YEAR(A363)=Settings!$C$5,MONTH(A363)&gt;=Settings!$C$10),Settings!$C$9,Settings!$C$6))</f>
        <v/>
      </c>
      <c r="G363" s="48" t="str">
        <f t="shared" si="5"/>
        <v/>
      </c>
    </row>
    <row r="364" spans="1:7" ht="16" x14ac:dyDescent="0.2">
      <c r="A364" s="50"/>
      <c r="B364" s="47"/>
      <c r="C364" s="47"/>
      <c r="D364" s="47"/>
      <c r="E364" s="47"/>
      <c r="F364" s="52" t="str">
        <f>IF(E364="","",E364*IF(AND(A364&lt;&gt;"",Settings!$C$10&lt;&gt;"",YEAR(A364)=Settings!$C$5,MONTH(A364)&gt;=Settings!$C$10),Settings!$C$9,Settings!$C$6))</f>
        <v/>
      </c>
      <c r="G364" s="48" t="str">
        <f t="shared" si="5"/>
        <v/>
      </c>
    </row>
    <row r="365" spans="1:7" ht="16" x14ac:dyDescent="0.2">
      <c r="A365" s="50"/>
      <c r="B365" s="47"/>
      <c r="C365" s="47"/>
      <c r="D365" s="47"/>
      <c r="E365" s="47"/>
      <c r="F365" s="52" t="str">
        <f>IF(E365="","",E365*IF(AND(A365&lt;&gt;"",Settings!$C$10&lt;&gt;"",YEAR(A365)=Settings!$C$5,MONTH(A365)&gt;=Settings!$C$10),Settings!$C$9,Settings!$C$6))</f>
        <v/>
      </c>
      <c r="G365" s="48" t="str">
        <f t="shared" si="5"/>
        <v/>
      </c>
    </row>
    <row r="366" spans="1:7" ht="16" x14ac:dyDescent="0.2">
      <c r="A366" s="50"/>
      <c r="B366" s="47"/>
      <c r="C366" s="47"/>
      <c r="D366" s="47"/>
      <c r="E366" s="47"/>
      <c r="F366" s="52" t="str">
        <f>IF(E366="","",E366*IF(AND(A366&lt;&gt;"",Settings!$C$10&lt;&gt;"",YEAR(A366)=Settings!$C$5,MONTH(A366)&gt;=Settings!$C$10),Settings!$C$9,Settings!$C$6))</f>
        <v/>
      </c>
      <c r="G366" s="48" t="str">
        <f t="shared" si="5"/>
        <v/>
      </c>
    </row>
    <row r="367" spans="1:7" ht="16" x14ac:dyDescent="0.2">
      <c r="A367" s="50"/>
      <c r="B367" s="47"/>
      <c r="C367" s="47"/>
      <c r="D367" s="47"/>
      <c r="E367" s="47"/>
      <c r="F367" s="52" t="str">
        <f>IF(E367="","",E367*IF(AND(A367&lt;&gt;"",Settings!$C$10&lt;&gt;"",YEAR(A367)=Settings!$C$5,MONTH(A367)&gt;=Settings!$C$10),Settings!$C$9,Settings!$C$6))</f>
        <v/>
      </c>
      <c r="G367" s="48" t="str">
        <f t="shared" si="5"/>
        <v/>
      </c>
    </row>
    <row r="368" spans="1:7" ht="16" x14ac:dyDescent="0.2">
      <c r="A368" s="50"/>
      <c r="B368" s="47"/>
      <c r="C368" s="47"/>
      <c r="D368" s="47"/>
      <c r="E368" s="47"/>
      <c r="F368" s="52" t="str">
        <f>IF(E368="","",E368*IF(AND(A368&lt;&gt;"",Settings!$C$10&lt;&gt;"",YEAR(A368)=Settings!$C$5,MONTH(A368)&gt;=Settings!$C$10),Settings!$C$9,Settings!$C$6))</f>
        <v/>
      </c>
      <c r="G368" s="48" t="str">
        <f t="shared" si="5"/>
        <v/>
      </c>
    </row>
    <row r="369" spans="1:7" ht="16" x14ac:dyDescent="0.2">
      <c r="A369" s="50"/>
      <c r="B369" s="47"/>
      <c r="C369" s="47"/>
      <c r="D369" s="47"/>
      <c r="E369" s="47"/>
      <c r="F369" s="52" t="str">
        <f>IF(E369="","",E369*IF(AND(A369&lt;&gt;"",Settings!$C$10&lt;&gt;"",YEAR(A369)=Settings!$C$5,MONTH(A369)&gt;=Settings!$C$10),Settings!$C$9,Settings!$C$6))</f>
        <v/>
      </c>
      <c r="G369" s="48" t="str">
        <f t="shared" si="5"/>
        <v/>
      </c>
    </row>
    <row r="370" spans="1:7" ht="16" x14ac:dyDescent="0.2">
      <c r="A370" s="50"/>
      <c r="B370" s="47"/>
      <c r="C370" s="47"/>
      <c r="D370" s="47"/>
      <c r="E370" s="47"/>
      <c r="F370" s="52" t="str">
        <f>IF(E370="","",E370*IF(AND(A370&lt;&gt;"",Settings!$C$10&lt;&gt;"",YEAR(A370)=Settings!$C$5,MONTH(A370)&gt;=Settings!$C$10),Settings!$C$9,Settings!$C$6))</f>
        <v/>
      </c>
      <c r="G370" s="48" t="str">
        <f t="shared" si="5"/>
        <v/>
      </c>
    </row>
    <row r="371" spans="1:7" ht="16" x14ac:dyDescent="0.2">
      <c r="A371" s="50"/>
      <c r="B371" s="47"/>
      <c r="C371" s="47"/>
      <c r="D371" s="47"/>
      <c r="E371" s="47"/>
      <c r="F371" s="52" t="str">
        <f>IF(E371="","",E371*IF(AND(A371&lt;&gt;"",Settings!$C$10&lt;&gt;"",YEAR(A371)=Settings!$C$5,MONTH(A371)&gt;=Settings!$C$10),Settings!$C$9,Settings!$C$6))</f>
        <v/>
      </c>
      <c r="G371" s="48" t="str">
        <f t="shared" si="5"/>
        <v/>
      </c>
    </row>
    <row r="372" spans="1:7" ht="16" x14ac:dyDescent="0.2">
      <c r="A372" s="50"/>
      <c r="B372" s="47"/>
      <c r="C372" s="47"/>
      <c r="D372" s="47"/>
      <c r="E372" s="47"/>
      <c r="F372" s="52" t="str">
        <f>IF(E372="","",E372*IF(AND(A372&lt;&gt;"",Settings!$C$10&lt;&gt;"",YEAR(A372)=Settings!$C$5,MONTH(A372)&gt;=Settings!$C$10),Settings!$C$9,Settings!$C$6))</f>
        <v/>
      </c>
      <c r="G372" s="48" t="str">
        <f t="shared" si="5"/>
        <v/>
      </c>
    </row>
    <row r="373" spans="1:7" ht="16" x14ac:dyDescent="0.2">
      <c r="A373" s="50"/>
      <c r="B373" s="47"/>
      <c r="C373" s="47"/>
      <c r="D373" s="47"/>
      <c r="E373" s="47"/>
      <c r="F373" s="52" t="str">
        <f>IF(E373="","",E373*IF(AND(A373&lt;&gt;"",Settings!$C$10&lt;&gt;"",YEAR(A373)=Settings!$C$5,MONTH(A373)&gt;=Settings!$C$10),Settings!$C$9,Settings!$C$6))</f>
        <v/>
      </c>
      <c r="G373" s="48" t="str">
        <f t="shared" si="5"/>
        <v/>
      </c>
    </row>
    <row r="374" spans="1:7" ht="16" x14ac:dyDescent="0.2">
      <c r="A374" s="50"/>
      <c r="B374" s="47"/>
      <c r="C374" s="47"/>
      <c r="D374" s="47"/>
      <c r="E374" s="47"/>
      <c r="F374" s="52" t="str">
        <f>IF(E374="","",E374*IF(AND(A374&lt;&gt;"",Settings!$C$10&lt;&gt;"",YEAR(A374)=Settings!$C$5,MONTH(A374)&gt;=Settings!$C$10),Settings!$C$9,Settings!$C$6))</f>
        <v/>
      </c>
      <c r="G374" s="48" t="str">
        <f t="shared" si="5"/>
        <v/>
      </c>
    </row>
    <row r="375" spans="1:7" ht="16" x14ac:dyDescent="0.2">
      <c r="A375" s="50"/>
      <c r="B375" s="47"/>
      <c r="C375" s="47"/>
      <c r="D375" s="47"/>
      <c r="E375" s="47"/>
      <c r="F375" s="52" t="str">
        <f>IF(E375="","",E375*IF(AND(A375&lt;&gt;"",Settings!$C$10&lt;&gt;"",YEAR(A375)=Settings!$C$5,MONTH(A375)&gt;=Settings!$C$10),Settings!$C$9,Settings!$C$6))</f>
        <v/>
      </c>
      <c r="G375" s="48" t="str">
        <f t="shared" si="5"/>
        <v/>
      </c>
    </row>
    <row r="376" spans="1:7" ht="16" x14ac:dyDescent="0.2">
      <c r="A376" s="50"/>
      <c r="B376" s="47"/>
      <c r="C376" s="47"/>
      <c r="D376" s="47"/>
      <c r="E376" s="47"/>
      <c r="F376" s="52" t="str">
        <f>IF(E376="","",E376*IF(AND(A376&lt;&gt;"",Settings!$C$10&lt;&gt;"",YEAR(A376)=Settings!$C$5,MONTH(A376)&gt;=Settings!$C$10),Settings!$C$9,Settings!$C$6))</f>
        <v/>
      </c>
      <c r="G376" s="48" t="str">
        <f t="shared" si="5"/>
        <v/>
      </c>
    </row>
    <row r="377" spans="1:7" ht="16" x14ac:dyDescent="0.2">
      <c r="A377" s="50"/>
      <c r="B377" s="47"/>
      <c r="C377" s="47"/>
      <c r="D377" s="47"/>
      <c r="E377" s="47"/>
      <c r="F377" s="52" t="str">
        <f>IF(E377="","",E377*IF(AND(A377&lt;&gt;"",Settings!$C$10&lt;&gt;"",YEAR(A377)=Settings!$C$5,MONTH(A377)&gt;=Settings!$C$10),Settings!$C$9,Settings!$C$6))</f>
        <v/>
      </c>
      <c r="G377" s="48" t="str">
        <f t="shared" si="5"/>
        <v/>
      </c>
    </row>
    <row r="378" spans="1:7" ht="16" x14ac:dyDescent="0.2">
      <c r="A378" s="50"/>
      <c r="B378" s="47"/>
      <c r="C378" s="47"/>
      <c r="D378" s="47"/>
      <c r="E378" s="47"/>
      <c r="F378" s="52" t="str">
        <f>IF(E378="","",E378*IF(AND(A378&lt;&gt;"",Settings!$C$10&lt;&gt;"",YEAR(A378)=Settings!$C$5,MONTH(A378)&gt;=Settings!$C$10),Settings!$C$9,Settings!$C$6))</f>
        <v/>
      </c>
      <c r="G378" s="48" t="str">
        <f t="shared" si="5"/>
        <v/>
      </c>
    </row>
    <row r="379" spans="1:7" ht="16" x14ac:dyDescent="0.2">
      <c r="A379" s="50"/>
      <c r="B379" s="47"/>
      <c r="C379" s="47"/>
      <c r="D379" s="47"/>
      <c r="E379" s="47"/>
      <c r="F379" s="52" t="str">
        <f>IF(E379="","",E379*IF(AND(A379&lt;&gt;"",Settings!$C$10&lt;&gt;"",YEAR(A379)=Settings!$C$5,MONTH(A379)&gt;=Settings!$C$10),Settings!$C$9,Settings!$C$6))</f>
        <v/>
      </c>
      <c r="G379" s="48" t="str">
        <f t="shared" si="5"/>
        <v/>
      </c>
    </row>
    <row r="380" spans="1:7" ht="16" x14ac:dyDescent="0.2">
      <c r="A380" s="50"/>
      <c r="B380" s="47"/>
      <c r="C380" s="47"/>
      <c r="D380" s="47"/>
      <c r="E380" s="47"/>
      <c r="F380" s="52" t="str">
        <f>IF(E380="","",E380*IF(AND(A380&lt;&gt;"",Settings!$C$10&lt;&gt;"",YEAR(A380)=Settings!$C$5,MONTH(A380)&gt;=Settings!$C$10),Settings!$C$9,Settings!$C$6))</f>
        <v/>
      </c>
      <c r="G380" s="48" t="str">
        <f t="shared" si="5"/>
        <v/>
      </c>
    </row>
    <row r="381" spans="1:7" ht="16" x14ac:dyDescent="0.2">
      <c r="A381" s="50"/>
      <c r="B381" s="47"/>
      <c r="C381" s="47"/>
      <c r="D381" s="47"/>
      <c r="E381" s="47"/>
      <c r="F381" s="52" t="str">
        <f>IF(E381="","",E381*IF(AND(A381&lt;&gt;"",Settings!$C$10&lt;&gt;"",YEAR(A381)=Settings!$C$5,MONTH(A381)&gt;=Settings!$C$10),Settings!$C$9,Settings!$C$6))</f>
        <v/>
      </c>
      <c r="G381" s="48" t="str">
        <f t="shared" si="5"/>
        <v/>
      </c>
    </row>
    <row r="382" spans="1:7" ht="16" x14ac:dyDescent="0.2">
      <c r="A382" s="50"/>
      <c r="B382" s="47"/>
      <c r="C382" s="47"/>
      <c r="D382" s="47"/>
      <c r="E382" s="47"/>
      <c r="F382" s="52" t="str">
        <f>IF(E382="","",E382*IF(AND(A382&lt;&gt;"",Settings!$C$10&lt;&gt;"",YEAR(A382)=Settings!$C$5,MONTH(A382)&gt;=Settings!$C$10),Settings!$C$9,Settings!$C$6))</f>
        <v/>
      </c>
      <c r="G382" s="48" t="str">
        <f t="shared" si="5"/>
        <v/>
      </c>
    </row>
    <row r="383" spans="1:7" ht="16" x14ac:dyDescent="0.2">
      <c r="A383" s="50"/>
      <c r="B383" s="47"/>
      <c r="C383" s="47"/>
      <c r="D383" s="47"/>
      <c r="E383" s="47"/>
      <c r="F383" s="52" t="str">
        <f>IF(E383="","",E383*IF(AND(A383&lt;&gt;"",Settings!$C$10&lt;&gt;"",YEAR(A383)=Settings!$C$5,MONTH(A383)&gt;=Settings!$C$10),Settings!$C$9,Settings!$C$6))</f>
        <v/>
      </c>
      <c r="G383" s="48" t="str">
        <f t="shared" si="5"/>
        <v/>
      </c>
    </row>
    <row r="384" spans="1:7" ht="16" x14ac:dyDescent="0.2">
      <c r="A384" s="50"/>
      <c r="B384" s="47"/>
      <c r="C384" s="47"/>
      <c r="D384" s="47"/>
      <c r="E384" s="47"/>
      <c r="F384" s="52" t="str">
        <f>IF(E384="","",E384*IF(AND(A384&lt;&gt;"",Settings!$C$10&lt;&gt;"",YEAR(A384)=Settings!$C$5,MONTH(A384)&gt;=Settings!$C$10),Settings!$C$9,Settings!$C$6))</f>
        <v/>
      </c>
      <c r="G384" s="48" t="str">
        <f t="shared" si="5"/>
        <v/>
      </c>
    </row>
    <row r="385" spans="1:7" ht="16" x14ac:dyDescent="0.2">
      <c r="A385" s="50"/>
      <c r="B385" s="47"/>
      <c r="C385" s="47"/>
      <c r="D385" s="47"/>
      <c r="E385" s="47"/>
      <c r="F385" s="52" t="str">
        <f>IF(E385="","",E385*IF(AND(A385&lt;&gt;"",Settings!$C$10&lt;&gt;"",YEAR(A385)=Settings!$C$5,MONTH(A385)&gt;=Settings!$C$10),Settings!$C$9,Settings!$C$6))</f>
        <v/>
      </c>
      <c r="G385" s="48" t="str">
        <f t="shared" si="5"/>
        <v/>
      </c>
    </row>
    <row r="386" spans="1:7" ht="16" x14ac:dyDescent="0.2">
      <c r="A386" s="50"/>
      <c r="B386" s="47"/>
      <c r="C386" s="47"/>
      <c r="D386" s="47"/>
      <c r="E386" s="47"/>
      <c r="F386" s="52" t="str">
        <f>IF(E386="","",E386*IF(AND(A386&lt;&gt;"",Settings!$C$10&lt;&gt;"",YEAR(A386)=Settings!$C$5,MONTH(A386)&gt;=Settings!$C$10),Settings!$C$9,Settings!$C$6))</f>
        <v/>
      </c>
      <c r="G386" s="48" t="str">
        <f t="shared" si="5"/>
        <v/>
      </c>
    </row>
    <row r="387" spans="1:7" ht="16" x14ac:dyDescent="0.2">
      <c r="A387" s="50"/>
      <c r="B387" s="47"/>
      <c r="C387" s="47"/>
      <c r="D387" s="47"/>
      <c r="E387" s="47"/>
      <c r="F387" s="52" t="str">
        <f>IF(E387="","",E387*IF(AND(A387&lt;&gt;"",Settings!$C$10&lt;&gt;"",YEAR(A387)=Settings!$C$5,MONTH(A387)&gt;=Settings!$C$10),Settings!$C$9,Settings!$C$6))</f>
        <v/>
      </c>
      <c r="G387" s="48" t="str">
        <f t="shared" si="5"/>
        <v/>
      </c>
    </row>
    <row r="388" spans="1:7" ht="16" x14ac:dyDescent="0.2">
      <c r="A388" s="50"/>
      <c r="B388" s="47"/>
      <c r="C388" s="47"/>
      <c r="D388" s="47"/>
      <c r="E388" s="47"/>
      <c r="F388" s="52" t="str">
        <f>IF(E388="","",E388*IF(AND(A388&lt;&gt;"",Settings!$C$10&lt;&gt;"",YEAR(A388)=Settings!$C$5,MONTH(A388)&gt;=Settings!$C$10),Settings!$C$9,Settings!$C$6))</f>
        <v/>
      </c>
      <c r="G388" s="48" t="str">
        <f t="shared" si="5"/>
        <v/>
      </c>
    </row>
    <row r="389" spans="1:7" ht="16" x14ac:dyDescent="0.2">
      <c r="A389" s="50"/>
      <c r="B389" s="47"/>
      <c r="C389" s="47"/>
      <c r="D389" s="47"/>
      <c r="E389" s="47"/>
      <c r="F389" s="52" t="str">
        <f>IF(E389="","",E389*IF(AND(A389&lt;&gt;"",Settings!$C$10&lt;&gt;"",YEAR(A389)=Settings!$C$5,MONTH(A389)&gt;=Settings!$C$10),Settings!$C$9,Settings!$C$6))</f>
        <v/>
      </c>
      <c r="G389" s="48" t="str">
        <f t="shared" si="5"/>
        <v/>
      </c>
    </row>
    <row r="390" spans="1:7" ht="16" x14ac:dyDescent="0.2">
      <c r="A390" s="50"/>
      <c r="B390" s="47"/>
      <c r="C390" s="47"/>
      <c r="D390" s="47"/>
      <c r="E390" s="47"/>
      <c r="F390" s="52" t="str">
        <f>IF(E390="","",E390*IF(AND(A390&lt;&gt;"",Settings!$C$10&lt;&gt;"",YEAR(A390)=Settings!$C$5,MONTH(A390)&gt;=Settings!$C$10),Settings!$C$9,Settings!$C$6))</f>
        <v/>
      </c>
      <c r="G390" s="48" t="str">
        <f t="shared" si="5"/>
        <v/>
      </c>
    </row>
    <row r="391" spans="1:7" ht="16" x14ac:dyDescent="0.2">
      <c r="A391" s="50"/>
      <c r="B391" s="47"/>
      <c r="C391" s="47"/>
      <c r="D391" s="47"/>
      <c r="E391" s="47"/>
      <c r="F391" s="52" t="str">
        <f>IF(E391="","",E391*IF(AND(A391&lt;&gt;"",Settings!$C$10&lt;&gt;"",YEAR(A391)=Settings!$C$5,MONTH(A391)&gt;=Settings!$C$10),Settings!$C$9,Settings!$C$6))</f>
        <v/>
      </c>
      <c r="G391" s="48" t="str">
        <f t="shared" ref="G391:G454" si="6">IF(OR(A391="",E391=""),"",YEAR(A391))</f>
        <v/>
      </c>
    </row>
    <row r="392" spans="1:7" ht="16" x14ac:dyDescent="0.2">
      <c r="A392" s="50"/>
      <c r="B392" s="47"/>
      <c r="C392" s="47"/>
      <c r="D392" s="47"/>
      <c r="E392" s="47"/>
      <c r="F392" s="52" t="str">
        <f>IF(E392="","",E392*IF(AND(A392&lt;&gt;"",Settings!$C$10&lt;&gt;"",YEAR(A392)=Settings!$C$5,MONTH(A392)&gt;=Settings!$C$10),Settings!$C$9,Settings!$C$6))</f>
        <v/>
      </c>
      <c r="G392" s="48" t="str">
        <f t="shared" si="6"/>
        <v/>
      </c>
    </row>
    <row r="393" spans="1:7" ht="16" x14ac:dyDescent="0.2">
      <c r="A393" s="50"/>
      <c r="B393" s="47"/>
      <c r="C393" s="47"/>
      <c r="D393" s="47"/>
      <c r="E393" s="47"/>
      <c r="F393" s="52" t="str">
        <f>IF(E393="","",E393*IF(AND(A393&lt;&gt;"",Settings!$C$10&lt;&gt;"",YEAR(A393)=Settings!$C$5,MONTH(A393)&gt;=Settings!$C$10),Settings!$C$9,Settings!$C$6))</f>
        <v/>
      </c>
      <c r="G393" s="48" t="str">
        <f t="shared" si="6"/>
        <v/>
      </c>
    </row>
    <row r="394" spans="1:7" ht="16" x14ac:dyDescent="0.2">
      <c r="A394" s="50"/>
      <c r="B394" s="47"/>
      <c r="C394" s="47"/>
      <c r="D394" s="47"/>
      <c r="E394" s="47"/>
      <c r="F394" s="52" t="str">
        <f>IF(E394="","",E394*IF(AND(A394&lt;&gt;"",Settings!$C$10&lt;&gt;"",YEAR(A394)=Settings!$C$5,MONTH(A394)&gt;=Settings!$C$10),Settings!$C$9,Settings!$C$6))</f>
        <v/>
      </c>
      <c r="G394" s="48" t="str">
        <f t="shared" si="6"/>
        <v/>
      </c>
    </row>
    <row r="395" spans="1:7" ht="16" x14ac:dyDescent="0.2">
      <c r="A395" s="50"/>
      <c r="B395" s="47"/>
      <c r="C395" s="47"/>
      <c r="D395" s="47"/>
      <c r="E395" s="47"/>
      <c r="F395" s="52" t="str">
        <f>IF(E395="","",E395*IF(AND(A395&lt;&gt;"",Settings!$C$10&lt;&gt;"",YEAR(A395)=Settings!$C$5,MONTH(A395)&gt;=Settings!$C$10),Settings!$C$9,Settings!$C$6))</f>
        <v/>
      </c>
      <c r="G395" s="48" t="str">
        <f t="shared" si="6"/>
        <v/>
      </c>
    </row>
    <row r="396" spans="1:7" ht="16" x14ac:dyDescent="0.2">
      <c r="A396" s="50"/>
      <c r="B396" s="47"/>
      <c r="C396" s="47"/>
      <c r="D396" s="47"/>
      <c r="E396" s="47"/>
      <c r="F396" s="52" t="str">
        <f>IF(E396="","",E396*IF(AND(A396&lt;&gt;"",Settings!$C$10&lt;&gt;"",YEAR(A396)=Settings!$C$5,MONTH(A396)&gt;=Settings!$C$10),Settings!$C$9,Settings!$C$6))</f>
        <v/>
      </c>
      <c r="G396" s="48" t="str">
        <f t="shared" si="6"/>
        <v/>
      </c>
    </row>
    <row r="397" spans="1:7" ht="16" x14ac:dyDescent="0.2">
      <c r="A397" s="50"/>
      <c r="B397" s="47"/>
      <c r="C397" s="47"/>
      <c r="D397" s="47"/>
      <c r="E397" s="47"/>
      <c r="F397" s="52" t="str">
        <f>IF(E397="","",E397*IF(AND(A397&lt;&gt;"",Settings!$C$10&lt;&gt;"",YEAR(A397)=Settings!$C$5,MONTH(A397)&gt;=Settings!$C$10),Settings!$C$9,Settings!$C$6))</f>
        <v/>
      </c>
      <c r="G397" s="48" t="str">
        <f t="shared" si="6"/>
        <v/>
      </c>
    </row>
    <row r="398" spans="1:7" ht="16" x14ac:dyDescent="0.2">
      <c r="A398" s="50"/>
      <c r="B398" s="47"/>
      <c r="C398" s="47"/>
      <c r="D398" s="47"/>
      <c r="E398" s="47"/>
      <c r="F398" s="52" t="str">
        <f>IF(E398="","",E398*IF(AND(A398&lt;&gt;"",Settings!$C$10&lt;&gt;"",YEAR(A398)=Settings!$C$5,MONTH(A398)&gt;=Settings!$C$10),Settings!$C$9,Settings!$C$6))</f>
        <v/>
      </c>
      <c r="G398" s="48" t="str">
        <f t="shared" si="6"/>
        <v/>
      </c>
    </row>
    <row r="399" spans="1:7" ht="16" x14ac:dyDescent="0.2">
      <c r="A399" s="50"/>
      <c r="B399" s="47"/>
      <c r="C399" s="47"/>
      <c r="D399" s="47"/>
      <c r="E399" s="47"/>
      <c r="F399" s="52" t="str">
        <f>IF(E399="","",E399*IF(AND(A399&lt;&gt;"",Settings!$C$10&lt;&gt;"",YEAR(A399)=Settings!$C$5,MONTH(A399)&gt;=Settings!$C$10),Settings!$C$9,Settings!$C$6))</f>
        <v/>
      </c>
      <c r="G399" s="48" t="str">
        <f t="shared" si="6"/>
        <v/>
      </c>
    </row>
    <row r="400" spans="1:7" ht="16" x14ac:dyDescent="0.2">
      <c r="A400" s="50"/>
      <c r="B400" s="47"/>
      <c r="C400" s="47"/>
      <c r="D400" s="47"/>
      <c r="E400" s="47"/>
      <c r="F400" s="52" t="str">
        <f>IF(E400="","",E400*IF(AND(A400&lt;&gt;"",Settings!$C$10&lt;&gt;"",YEAR(A400)=Settings!$C$5,MONTH(A400)&gt;=Settings!$C$10),Settings!$C$9,Settings!$C$6))</f>
        <v/>
      </c>
      <c r="G400" s="48" t="str">
        <f t="shared" si="6"/>
        <v/>
      </c>
    </row>
    <row r="401" spans="1:7" ht="16" x14ac:dyDescent="0.2">
      <c r="A401" s="50"/>
      <c r="B401" s="47"/>
      <c r="C401" s="47"/>
      <c r="D401" s="47"/>
      <c r="E401" s="47"/>
      <c r="F401" s="52" t="str">
        <f>IF(E401="","",E401*IF(AND(A401&lt;&gt;"",Settings!$C$10&lt;&gt;"",YEAR(A401)=Settings!$C$5,MONTH(A401)&gt;=Settings!$C$10),Settings!$C$9,Settings!$C$6))</f>
        <v/>
      </c>
      <c r="G401" s="48" t="str">
        <f t="shared" si="6"/>
        <v/>
      </c>
    </row>
    <row r="402" spans="1:7" ht="16" x14ac:dyDescent="0.2">
      <c r="A402" s="50"/>
      <c r="B402" s="47"/>
      <c r="C402" s="47"/>
      <c r="D402" s="47"/>
      <c r="E402" s="47"/>
      <c r="F402" s="52" t="str">
        <f>IF(E402="","",E402*IF(AND(A402&lt;&gt;"",Settings!$C$10&lt;&gt;"",YEAR(A402)=Settings!$C$5,MONTH(A402)&gt;=Settings!$C$10),Settings!$C$9,Settings!$C$6))</f>
        <v/>
      </c>
      <c r="G402" s="48" t="str">
        <f t="shared" si="6"/>
        <v/>
      </c>
    </row>
    <row r="403" spans="1:7" ht="16" x14ac:dyDescent="0.2">
      <c r="A403" s="50"/>
      <c r="B403" s="47"/>
      <c r="C403" s="47"/>
      <c r="D403" s="47"/>
      <c r="E403" s="47"/>
      <c r="F403" s="52" t="str">
        <f>IF(E403="","",E403*IF(AND(A403&lt;&gt;"",Settings!$C$10&lt;&gt;"",YEAR(A403)=Settings!$C$5,MONTH(A403)&gt;=Settings!$C$10),Settings!$C$9,Settings!$C$6))</f>
        <v/>
      </c>
      <c r="G403" s="48" t="str">
        <f t="shared" si="6"/>
        <v/>
      </c>
    </row>
    <row r="404" spans="1:7" ht="16" x14ac:dyDescent="0.2">
      <c r="A404" s="50"/>
      <c r="B404" s="47"/>
      <c r="C404" s="47"/>
      <c r="D404" s="47"/>
      <c r="E404" s="47"/>
      <c r="F404" s="52" t="str">
        <f>IF(E404="","",E404*IF(AND(A404&lt;&gt;"",Settings!$C$10&lt;&gt;"",YEAR(A404)=Settings!$C$5,MONTH(A404)&gt;=Settings!$C$10),Settings!$C$9,Settings!$C$6))</f>
        <v/>
      </c>
      <c r="G404" s="48" t="str">
        <f t="shared" si="6"/>
        <v/>
      </c>
    </row>
    <row r="405" spans="1:7" ht="16" x14ac:dyDescent="0.2">
      <c r="A405" s="50"/>
      <c r="B405" s="47"/>
      <c r="C405" s="47"/>
      <c r="D405" s="47"/>
      <c r="E405" s="47"/>
      <c r="F405" s="52" t="str">
        <f>IF(E405="","",E405*IF(AND(A405&lt;&gt;"",Settings!$C$10&lt;&gt;"",YEAR(A405)=Settings!$C$5,MONTH(A405)&gt;=Settings!$C$10),Settings!$C$9,Settings!$C$6))</f>
        <v/>
      </c>
      <c r="G405" s="48" t="str">
        <f t="shared" si="6"/>
        <v/>
      </c>
    </row>
    <row r="406" spans="1:7" ht="16" x14ac:dyDescent="0.2">
      <c r="A406" s="50"/>
      <c r="B406" s="47"/>
      <c r="C406" s="47"/>
      <c r="D406" s="47"/>
      <c r="E406" s="47"/>
      <c r="F406" s="52" t="str">
        <f>IF(E406="","",E406*IF(AND(A406&lt;&gt;"",Settings!$C$10&lt;&gt;"",YEAR(A406)=Settings!$C$5,MONTH(A406)&gt;=Settings!$C$10),Settings!$C$9,Settings!$C$6))</f>
        <v/>
      </c>
      <c r="G406" s="48" t="str">
        <f t="shared" si="6"/>
        <v/>
      </c>
    </row>
    <row r="407" spans="1:7" ht="16" x14ac:dyDescent="0.2">
      <c r="A407" s="50"/>
      <c r="B407" s="47"/>
      <c r="C407" s="47"/>
      <c r="D407" s="47"/>
      <c r="E407" s="47"/>
      <c r="F407" s="52" t="str">
        <f>IF(E407="","",E407*IF(AND(A407&lt;&gt;"",Settings!$C$10&lt;&gt;"",YEAR(A407)=Settings!$C$5,MONTH(A407)&gt;=Settings!$C$10),Settings!$C$9,Settings!$C$6))</f>
        <v/>
      </c>
      <c r="G407" s="48" t="str">
        <f t="shared" si="6"/>
        <v/>
      </c>
    </row>
    <row r="408" spans="1:7" ht="16" x14ac:dyDescent="0.2">
      <c r="A408" s="50"/>
      <c r="B408" s="47"/>
      <c r="C408" s="47"/>
      <c r="D408" s="47"/>
      <c r="E408" s="47"/>
      <c r="F408" s="52" t="str">
        <f>IF(E408="","",E408*IF(AND(A408&lt;&gt;"",Settings!$C$10&lt;&gt;"",YEAR(A408)=Settings!$C$5,MONTH(A408)&gt;=Settings!$C$10),Settings!$C$9,Settings!$C$6))</f>
        <v/>
      </c>
      <c r="G408" s="48" t="str">
        <f t="shared" si="6"/>
        <v/>
      </c>
    </row>
    <row r="409" spans="1:7" ht="16" x14ac:dyDescent="0.2">
      <c r="A409" s="50"/>
      <c r="B409" s="47"/>
      <c r="C409" s="47"/>
      <c r="D409" s="47"/>
      <c r="E409" s="47"/>
      <c r="F409" s="52" t="str">
        <f>IF(E409="","",E409*IF(AND(A409&lt;&gt;"",Settings!$C$10&lt;&gt;"",YEAR(A409)=Settings!$C$5,MONTH(A409)&gt;=Settings!$C$10),Settings!$C$9,Settings!$C$6))</f>
        <v/>
      </c>
      <c r="G409" s="48" t="str">
        <f t="shared" si="6"/>
        <v/>
      </c>
    </row>
    <row r="410" spans="1:7" ht="16" x14ac:dyDescent="0.2">
      <c r="A410" s="50"/>
      <c r="B410" s="47"/>
      <c r="C410" s="47"/>
      <c r="D410" s="47"/>
      <c r="E410" s="47"/>
      <c r="F410" s="52" t="str">
        <f>IF(E410="","",E410*IF(AND(A410&lt;&gt;"",Settings!$C$10&lt;&gt;"",YEAR(A410)=Settings!$C$5,MONTH(A410)&gt;=Settings!$C$10),Settings!$C$9,Settings!$C$6))</f>
        <v/>
      </c>
      <c r="G410" s="48" t="str">
        <f t="shared" si="6"/>
        <v/>
      </c>
    </row>
    <row r="411" spans="1:7" ht="16" x14ac:dyDescent="0.2">
      <c r="A411" s="50"/>
      <c r="B411" s="47"/>
      <c r="C411" s="47"/>
      <c r="D411" s="47"/>
      <c r="E411" s="47"/>
      <c r="F411" s="52" t="str">
        <f>IF(E411="","",E411*IF(AND(A411&lt;&gt;"",Settings!$C$10&lt;&gt;"",YEAR(A411)=Settings!$C$5,MONTH(A411)&gt;=Settings!$C$10),Settings!$C$9,Settings!$C$6))</f>
        <v/>
      </c>
      <c r="G411" s="48" t="str">
        <f t="shared" si="6"/>
        <v/>
      </c>
    </row>
    <row r="412" spans="1:7" ht="16" x14ac:dyDescent="0.2">
      <c r="A412" s="50"/>
      <c r="B412" s="47"/>
      <c r="C412" s="47"/>
      <c r="D412" s="47"/>
      <c r="E412" s="47"/>
      <c r="F412" s="52" t="str">
        <f>IF(E412="","",E412*IF(AND(A412&lt;&gt;"",Settings!$C$10&lt;&gt;"",YEAR(A412)=Settings!$C$5,MONTH(A412)&gt;=Settings!$C$10),Settings!$C$9,Settings!$C$6))</f>
        <v/>
      </c>
      <c r="G412" s="48" t="str">
        <f t="shared" si="6"/>
        <v/>
      </c>
    </row>
    <row r="413" spans="1:7" ht="16" x14ac:dyDescent="0.2">
      <c r="A413" s="50"/>
      <c r="B413" s="47"/>
      <c r="C413" s="47"/>
      <c r="D413" s="47"/>
      <c r="E413" s="47"/>
      <c r="F413" s="52" t="str">
        <f>IF(E413="","",E413*IF(AND(A413&lt;&gt;"",Settings!$C$10&lt;&gt;"",YEAR(A413)=Settings!$C$5,MONTH(A413)&gt;=Settings!$C$10),Settings!$C$9,Settings!$C$6))</f>
        <v/>
      </c>
      <c r="G413" s="48" t="str">
        <f t="shared" si="6"/>
        <v/>
      </c>
    </row>
    <row r="414" spans="1:7" ht="16" x14ac:dyDescent="0.2">
      <c r="A414" s="50"/>
      <c r="B414" s="47"/>
      <c r="C414" s="47"/>
      <c r="D414" s="47"/>
      <c r="E414" s="47"/>
      <c r="F414" s="52" t="str">
        <f>IF(E414="","",E414*IF(AND(A414&lt;&gt;"",Settings!$C$10&lt;&gt;"",YEAR(A414)=Settings!$C$5,MONTH(A414)&gt;=Settings!$C$10),Settings!$C$9,Settings!$C$6))</f>
        <v/>
      </c>
      <c r="G414" s="48" t="str">
        <f t="shared" si="6"/>
        <v/>
      </c>
    </row>
    <row r="415" spans="1:7" ht="16" x14ac:dyDescent="0.2">
      <c r="A415" s="50"/>
      <c r="B415" s="47"/>
      <c r="C415" s="47"/>
      <c r="D415" s="47"/>
      <c r="E415" s="47"/>
      <c r="F415" s="52" t="str">
        <f>IF(E415="","",E415*IF(AND(A415&lt;&gt;"",Settings!$C$10&lt;&gt;"",YEAR(A415)=Settings!$C$5,MONTH(A415)&gt;=Settings!$C$10),Settings!$C$9,Settings!$C$6))</f>
        <v/>
      </c>
      <c r="G415" s="48" t="str">
        <f t="shared" si="6"/>
        <v/>
      </c>
    </row>
    <row r="416" spans="1:7" ht="16" x14ac:dyDescent="0.2">
      <c r="A416" s="50"/>
      <c r="B416" s="47"/>
      <c r="C416" s="47"/>
      <c r="D416" s="47"/>
      <c r="E416" s="47"/>
      <c r="F416" s="52" t="str">
        <f>IF(E416="","",E416*IF(AND(A416&lt;&gt;"",Settings!$C$10&lt;&gt;"",YEAR(A416)=Settings!$C$5,MONTH(A416)&gt;=Settings!$C$10),Settings!$C$9,Settings!$C$6))</f>
        <v/>
      </c>
      <c r="G416" s="48" t="str">
        <f t="shared" si="6"/>
        <v/>
      </c>
    </row>
    <row r="417" spans="1:7" ht="16" x14ac:dyDescent="0.2">
      <c r="A417" s="50"/>
      <c r="B417" s="47"/>
      <c r="C417" s="47"/>
      <c r="D417" s="47"/>
      <c r="E417" s="47"/>
      <c r="F417" s="52" t="str">
        <f>IF(E417="","",E417*IF(AND(A417&lt;&gt;"",Settings!$C$10&lt;&gt;"",YEAR(A417)=Settings!$C$5,MONTH(A417)&gt;=Settings!$C$10),Settings!$C$9,Settings!$C$6))</f>
        <v/>
      </c>
      <c r="G417" s="48" t="str">
        <f t="shared" si="6"/>
        <v/>
      </c>
    </row>
    <row r="418" spans="1:7" ht="16" x14ac:dyDescent="0.2">
      <c r="A418" s="50"/>
      <c r="B418" s="47"/>
      <c r="C418" s="47"/>
      <c r="D418" s="47"/>
      <c r="E418" s="47"/>
      <c r="F418" s="52" t="str">
        <f>IF(E418="","",E418*IF(AND(A418&lt;&gt;"",Settings!$C$10&lt;&gt;"",YEAR(A418)=Settings!$C$5,MONTH(A418)&gt;=Settings!$C$10),Settings!$C$9,Settings!$C$6))</f>
        <v/>
      </c>
      <c r="G418" s="48" t="str">
        <f t="shared" si="6"/>
        <v/>
      </c>
    </row>
    <row r="419" spans="1:7" ht="16" x14ac:dyDescent="0.2">
      <c r="A419" s="50"/>
      <c r="B419" s="47"/>
      <c r="C419" s="47"/>
      <c r="D419" s="47"/>
      <c r="E419" s="47"/>
      <c r="F419" s="52" t="str">
        <f>IF(E419="","",E419*IF(AND(A419&lt;&gt;"",Settings!$C$10&lt;&gt;"",YEAR(A419)=Settings!$C$5,MONTH(A419)&gt;=Settings!$C$10),Settings!$C$9,Settings!$C$6))</f>
        <v/>
      </c>
      <c r="G419" s="48" t="str">
        <f t="shared" si="6"/>
        <v/>
      </c>
    </row>
    <row r="420" spans="1:7" ht="16" x14ac:dyDescent="0.2">
      <c r="A420" s="50"/>
      <c r="B420" s="47"/>
      <c r="C420" s="47"/>
      <c r="D420" s="47"/>
      <c r="E420" s="47"/>
      <c r="F420" s="52" t="str">
        <f>IF(E420="","",E420*IF(AND(A420&lt;&gt;"",Settings!$C$10&lt;&gt;"",YEAR(A420)=Settings!$C$5,MONTH(A420)&gt;=Settings!$C$10),Settings!$C$9,Settings!$C$6))</f>
        <v/>
      </c>
      <c r="G420" s="48" t="str">
        <f t="shared" si="6"/>
        <v/>
      </c>
    </row>
    <row r="421" spans="1:7" ht="16" x14ac:dyDescent="0.2">
      <c r="A421" s="50"/>
      <c r="B421" s="47"/>
      <c r="C421" s="47"/>
      <c r="D421" s="47"/>
      <c r="E421" s="47"/>
      <c r="F421" s="52" t="str">
        <f>IF(E421="","",E421*IF(AND(A421&lt;&gt;"",Settings!$C$10&lt;&gt;"",YEAR(A421)=Settings!$C$5,MONTH(A421)&gt;=Settings!$C$10),Settings!$C$9,Settings!$C$6))</f>
        <v/>
      </c>
      <c r="G421" s="48" t="str">
        <f t="shared" si="6"/>
        <v/>
      </c>
    </row>
    <row r="422" spans="1:7" ht="16" x14ac:dyDescent="0.2">
      <c r="A422" s="50"/>
      <c r="B422" s="47"/>
      <c r="C422" s="47"/>
      <c r="D422" s="47"/>
      <c r="E422" s="47"/>
      <c r="F422" s="52" t="str">
        <f>IF(E422="","",E422*IF(AND(A422&lt;&gt;"",Settings!$C$10&lt;&gt;"",YEAR(A422)=Settings!$C$5,MONTH(A422)&gt;=Settings!$C$10),Settings!$C$9,Settings!$C$6))</f>
        <v/>
      </c>
      <c r="G422" s="48" t="str">
        <f t="shared" si="6"/>
        <v/>
      </c>
    </row>
    <row r="423" spans="1:7" ht="16" x14ac:dyDescent="0.2">
      <c r="A423" s="50"/>
      <c r="B423" s="47"/>
      <c r="C423" s="47"/>
      <c r="D423" s="47"/>
      <c r="E423" s="47"/>
      <c r="F423" s="52" t="str">
        <f>IF(E423="","",E423*IF(AND(A423&lt;&gt;"",Settings!$C$10&lt;&gt;"",YEAR(A423)=Settings!$C$5,MONTH(A423)&gt;=Settings!$C$10),Settings!$C$9,Settings!$C$6))</f>
        <v/>
      </c>
      <c r="G423" s="48" t="str">
        <f t="shared" si="6"/>
        <v/>
      </c>
    </row>
    <row r="424" spans="1:7" ht="16" x14ac:dyDescent="0.2">
      <c r="A424" s="50"/>
      <c r="B424" s="47"/>
      <c r="C424" s="47"/>
      <c r="D424" s="47"/>
      <c r="E424" s="47"/>
      <c r="F424" s="52" t="str">
        <f>IF(E424="","",E424*IF(AND(A424&lt;&gt;"",Settings!$C$10&lt;&gt;"",YEAR(A424)=Settings!$C$5,MONTH(A424)&gt;=Settings!$C$10),Settings!$C$9,Settings!$C$6))</f>
        <v/>
      </c>
      <c r="G424" s="48" t="str">
        <f t="shared" si="6"/>
        <v/>
      </c>
    </row>
    <row r="425" spans="1:7" ht="16" x14ac:dyDescent="0.2">
      <c r="A425" s="50"/>
      <c r="B425" s="47"/>
      <c r="C425" s="47"/>
      <c r="D425" s="47"/>
      <c r="E425" s="47"/>
      <c r="F425" s="52" t="str">
        <f>IF(E425="","",E425*IF(AND(A425&lt;&gt;"",Settings!$C$10&lt;&gt;"",YEAR(A425)=Settings!$C$5,MONTH(A425)&gt;=Settings!$C$10),Settings!$C$9,Settings!$C$6))</f>
        <v/>
      </c>
      <c r="G425" s="48" t="str">
        <f t="shared" si="6"/>
        <v/>
      </c>
    </row>
    <row r="426" spans="1:7" ht="16" x14ac:dyDescent="0.2">
      <c r="A426" s="50"/>
      <c r="B426" s="47"/>
      <c r="C426" s="47"/>
      <c r="D426" s="47"/>
      <c r="E426" s="47"/>
      <c r="F426" s="52" t="str">
        <f>IF(E426="","",E426*IF(AND(A426&lt;&gt;"",Settings!$C$10&lt;&gt;"",YEAR(A426)=Settings!$C$5,MONTH(A426)&gt;=Settings!$C$10),Settings!$C$9,Settings!$C$6))</f>
        <v/>
      </c>
      <c r="G426" s="48" t="str">
        <f t="shared" si="6"/>
        <v/>
      </c>
    </row>
    <row r="427" spans="1:7" ht="16" x14ac:dyDescent="0.2">
      <c r="A427" s="50"/>
      <c r="B427" s="47"/>
      <c r="C427" s="47"/>
      <c r="D427" s="47"/>
      <c r="E427" s="47"/>
      <c r="F427" s="52" t="str">
        <f>IF(E427="","",E427*IF(AND(A427&lt;&gt;"",Settings!$C$10&lt;&gt;"",YEAR(A427)=Settings!$C$5,MONTH(A427)&gt;=Settings!$C$10),Settings!$C$9,Settings!$C$6))</f>
        <v/>
      </c>
      <c r="G427" s="48" t="str">
        <f t="shared" si="6"/>
        <v/>
      </c>
    </row>
    <row r="428" spans="1:7" ht="16" x14ac:dyDescent="0.2">
      <c r="A428" s="50"/>
      <c r="B428" s="47"/>
      <c r="C428" s="47"/>
      <c r="D428" s="47"/>
      <c r="E428" s="47"/>
      <c r="F428" s="52" t="str">
        <f>IF(E428="","",E428*IF(AND(A428&lt;&gt;"",Settings!$C$10&lt;&gt;"",YEAR(A428)=Settings!$C$5,MONTH(A428)&gt;=Settings!$C$10),Settings!$C$9,Settings!$C$6))</f>
        <v/>
      </c>
      <c r="G428" s="48" t="str">
        <f t="shared" si="6"/>
        <v/>
      </c>
    </row>
    <row r="429" spans="1:7" ht="16" x14ac:dyDescent="0.2">
      <c r="A429" s="50"/>
      <c r="B429" s="47"/>
      <c r="C429" s="47"/>
      <c r="D429" s="47"/>
      <c r="E429" s="47"/>
      <c r="F429" s="52" t="str">
        <f>IF(E429="","",E429*IF(AND(A429&lt;&gt;"",Settings!$C$10&lt;&gt;"",YEAR(A429)=Settings!$C$5,MONTH(A429)&gt;=Settings!$C$10),Settings!$C$9,Settings!$C$6))</f>
        <v/>
      </c>
      <c r="G429" s="48" t="str">
        <f t="shared" si="6"/>
        <v/>
      </c>
    </row>
    <row r="430" spans="1:7" ht="16" x14ac:dyDescent="0.2">
      <c r="A430" s="50"/>
      <c r="B430" s="47"/>
      <c r="C430" s="47"/>
      <c r="D430" s="47"/>
      <c r="E430" s="47"/>
      <c r="F430" s="52" t="str">
        <f>IF(E430="","",E430*IF(AND(A430&lt;&gt;"",Settings!$C$10&lt;&gt;"",YEAR(A430)=Settings!$C$5,MONTH(A430)&gt;=Settings!$C$10),Settings!$C$9,Settings!$C$6))</f>
        <v/>
      </c>
      <c r="G430" s="48" t="str">
        <f t="shared" si="6"/>
        <v/>
      </c>
    </row>
    <row r="431" spans="1:7" ht="16" x14ac:dyDescent="0.2">
      <c r="A431" s="50"/>
      <c r="B431" s="47"/>
      <c r="C431" s="47"/>
      <c r="D431" s="47"/>
      <c r="E431" s="47"/>
      <c r="F431" s="52" t="str">
        <f>IF(E431="","",E431*IF(AND(A431&lt;&gt;"",Settings!$C$10&lt;&gt;"",YEAR(A431)=Settings!$C$5,MONTH(A431)&gt;=Settings!$C$10),Settings!$C$9,Settings!$C$6))</f>
        <v/>
      </c>
      <c r="G431" s="48" t="str">
        <f t="shared" si="6"/>
        <v/>
      </c>
    </row>
    <row r="432" spans="1:7" ht="16" x14ac:dyDescent="0.2">
      <c r="A432" s="50"/>
      <c r="B432" s="47"/>
      <c r="C432" s="47"/>
      <c r="D432" s="47"/>
      <c r="E432" s="47"/>
      <c r="F432" s="52" t="str">
        <f>IF(E432="","",E432*IF(AND(A432&lt;&gt;"",Settings!$C$10&lt;&gt;"",YEAR(A432)=Settings!$C$5,MONTH(A432)&gt;=Settings!$C$10),Settings!$C$9,Settings!$C$6))</f>
        <v/>
      </c>
      <c r="G432" s="48" t="str">
        <f t="shared" si="6"/>
        <v/>
      </c>
    </row>
    <row r="433" spans="1:7" ht="16" x14ac:dyDescent="0.2">
      <c r="A433" s="50"/>
      <c r="B433" s="47"/>
      <c r="C433" s="47"/>
      <c r="D433" s="47"/>
      <c r="E433" s="47"/>
      <c r="F433" s="52" t="str">
        <f>IF(E433="","",E433*IF(AND(A433&lt;&gt;"",Settings!$C$10&lt;&gt;"",YEAR(A433)=Settings!$C$5,MONTH(A433)&gt;=Settings!$C$10),Settings!$C$9,Settings!$C$6))</f>
        <v/>
      </c>
      <c r="G433" s="48" t="str">
        <f t="shared" si="6"/>
        <v/>
      </c>
    </row>
    <row r="434" spans="1:7" ht="16" x14ac:dyDescent="0.2">
      <c r="A434" s="50"/>
      <c r="B434" s="47"/>
      <c r="C434" s="47"/>
      <c r="D434" s="47"/>
      <c r="E434" s="47"/>
      <c r="F434" s="52" t="str">
        <f>IF(E434="","",E434*IF(AND(A434&lt;&gt;"",Settings!$C$10&lt;&gt;"",YEAR(A434)=Settings!$C$5,MONTH(A434)&gt;=Settings!$C$10),Settings!$C$9,Settings!$C$6))</f>
        <v/>
      </c>
      <c r="G434" s="48" t="str">
        <f t="shared" si="6"/>
        <v/>
      </c>
    </row>
    <row r="435" spans="1:7" ht="16" x14ac:dyDescent="0.2">
      <c r="A435" s="50"/>
      <c r="B435" s="47"/>
      <c r="C435" s="47"/>
      <c r="D435" s="47"/>
      <c r="E435" s="47"/>
      <c r="F435" s="52" t="str">
        <f>IF(E435="","",E435*IF(AND(A435&lt;&gt;"",Settings!$C$10&lt;&gt;"",YEAR(A435)=Settings!$C$5,MONTH(A435)&gt;=Settings!$C$10),Settings!$C$9,Settings!$C$6))</f>
        <v/>
      </c>
      <c r="G435" s="48" t="str">
        <f t="shared" si="6"/>
        <v/>
      </c>
    </row>
    <row r="436" spans="1:7" ht="16" x14ac:dyDescent="0.2">
      <c r="A436" s="50"/>
      <c r="B436" s="47"/>
      <c r="C436" s="47"/>
      <c r="D436" s="47"/>
      <c r="E436" s="47"/>
      <c r="F436" s="52" t="str">
        <f>IF(E436="","",E436*IF(AND(A436&lt;&gt;"",Settings!$C$10&lt;&gt;"",YEAR(A436)=Settings!$C$5,MONTH(A436)&gt;=Settings!$C$10),Settings!$C$9,Settings!$C$6))</f>
        <v/>
      </c>
      <c r="G436" s="48" t="str">
        <f t="shared" si="6"/>
        <v/>
      </c>
    </row>
    <row r="437" spans="1:7" ht="16" x14ac:dyDescent="0.2">
      <c r="A437" s="50"/>
      <c r="B437" s="47"/>
      <c r="C437" s="47"/>
      <c r="D437" s="47"/>
      <c r="E437" s="47"/>
      <c r="F437" s="52" t="str">
        <f>IF(E437="","",E437*IF(AND(A437&lt;&gt;"",Settings!$C$10&lt;&gt;"",YEAR(A437)=Settings!$C$5,MONTH(A437)&gt;=Settings!$C$10),Settings!$C$9,Settings!$C$6))</f>
        <v/>
      </c>
      <c r="G437" s="48" t="str">
        <f t="shared" si="6"/>
        <v/>
      </c>
    </row>
    <row r="438" spans="1:7" ht="16" x14ac:dyDescent="0.2">
      <c r="A438" s="50"/>
      <c r="B438" s="47"/>
      <c r="C438" s="47"/>
      <c r="D438" s="47"/>
      <c r="E438" s="47"/>
      <c r="F438" s="52" t="str">
        <f>IF(E438="","",E438*IF(AND(A438&lt;&gt;"",Settings!$C$10&lt;&gt;"",YEAR(A438)=Settings!$C$5,MONTH(A438)&gt;=Settings!$C$10),Settings!$C$9,Settings!$C$6))</f>
        <v/>
      </c>
      <c r="G438" s="48" t="str">
        <f t="shared" si="6"/>
        <v/>
      </c>
    </row>
    <row r="439" spans="1:7" ht="16" x14ac:dyDescent="0.2">
      <c r="A439" s="50"/>
      <c r="B439" s="47"/>
      <c r="C439" s="47"/>
      <c r="D439" s="47"/>
      <c r="E439" s="47"/>
      <c r="F439" s="52" t="str">
        <f>IF(E439="","",E439*IF(AND(A439&lt;&gt;"",Settings!$C$10&lt;&gt;"",YEAR(A439)=Settings!$C$5,MONTH(A439)&gt;=Settings!$C$10),Settings!$C$9,Settings!$C$6))</f>
        <v/>
      </c>
      <c r="G439" s="48" t="str">
        <f t="shared" si="6"/>
        <v/>
      </c>
    </row>
    <row r="440" spans="1:7" ht="16" x14ac:dyDescent="0.2">
      <c r="A440" s="50"/>
      <c r="B440" s="47"/>
      <c r="C440" s="47"/>
      <c r="D440" s="47"/>
      <c r="E440" s="47"/>
      <c r="F440" s="52" t="str">
        <f>IF(E440="","",E440*IF(AND(A440&lt;&gt;"",Settings!$C$10&lt;&gt;"",YEAR(A440)=Settings!$C$5,MONTH(A440)&gt;=Settings!$C$10),Settings!$C$9,Settings!$C$6))</f>
        <v/>
      </c>
      <c r="G440" s="48" t="str">
        <f t="shared" si="6"/>
        <v/>
      </c>
    </row>
    <row r="441" spans="1:7" ht="16" x14ac:dyDescent="0.2">
      <c r="A441" s="50"/>
      <c r="B441" s="47"/>
      <c r="C441" s="47"/>
      <c r="D441" s="47"/>
      <c r="E441" s="47"/>
      <c r="F441" s="52" t="str">
        <f>IF(E441="","",E441*IF(AND(A441&lt;&gt;"",Settings!$C$10&lt;&gt;"",YEAR(A441)=Settings!$C$5,MONTH(A441)&gt;=Settings!$C$10),Settings!$C$9,Settings!$C$6))</f>
        <v/>
      </c>
      <c r="G441" s="48" t="str">
        <f t="shared" si="6"/>
        <v/>
      </c>
    </row>
    <row r="442" spans="1:7" ht="16" x14ac:dyDescent="0.2">
      <c r="A442" s="50"/>
      <c r="B442" s="47"/>
      <c r="C442" s="47"/>
      <c r="D442" s="47"/>
      <c r="E442" s="47"/>
      <c r="F442" s="52" t="str">
        <f>IF(E442="","",E442*IF(AND(A442&lt;&gt;"",Settings!$C$10&lt;&gt;"",YEAR(A442)=Settings!$C$5,MONTH(A442)&gt;=Settings!$C$10),Settings!$C$9,Settings!$C$6))</f>
        <v/>
      </c>
      <c r="G442" s="48" t="str">
        <f t="shared" si="6"/>
        <v/>
      </c>
    </row>
    <row r="443" spans="1:7" ht="16" x14ac:dyDescent="0.2">
      <c r="A443" s="50"/>
      <c r="B443" s="47"/>
      <c r="C443" s="47"/>
      <c r="D443" s="47"/>
      <c r="E443" s="47"/>
      <c r="F443" s="52" t="str">
        <f>IF(E443="","",E443*IF(AND(A443&lt;&gt;"",Settings!$C$10&lt;&gt;"",YEAR(A443)=Settings!$C$5,MONTH(A443)&gt;=Settings!$C$10),Settings!$C$9,Settings!$C$6))</f>
        <v/>
      </c>
      <c r="G443" s="48" t="str">
        <f t="shared" si="6"/>
        <v/>
      </c>
    </row>
    <row r="444" spans="1:7" ht="16" x14ac:dyDescent="0.2">
      <c r="A444" s="50"/>
      <c r="B444" s="47"/>
      <c r="C444" s="47"/>
      <c r="D444" s="47"/>
      <c r="E444" s="47"/>
      <c r="F444" s="52" t="str">
        <f>IF(E444="","",E444*IF(AND(A444&lt;&gt;"",Settings!$C$10&lt;&gt;"",YEAR(A444)=Settings!$C$5,MONTH(A444)&gt;=Settings!$C$10),Settings!$C$9,Settings!$C$6))</f>
        <v/>
      </c>
      <c r="G444" s="48" t="str">
        <f t="shared" si="6"/>
        <v/>
      </c>
    </row>
    <row r="445" spans="1:7" ht="16" x14ac:dyDescent="0.2">
      <c r="A445" s="50"/>
      <c r="B445" s="47"/>
      <c r="C445" s="47"/>
      <c r="D445" s="47"/>
      <c r="E445" s="47"/>
      <c r="F445" s="52" t="str">
        <f>IF(E445="","",E445*IF(AND(A445&lt;&gt;"",Settings!$C$10&lt;&gt;"",YEAR(A445)=Settings!$C$5,MONTH(A445)&gt;=Settings!$C$10),Settings!$C$9,Settings!$C$6))</f>
        <v/>
      </c>
      <c r="G445" s="48" t="str">
        <f t="shared" si="6"/>
        <v/>
      </c>
    </row>
    <row r="446" spans="1:7" ht="16" x14ac:dyDescent="0.2">
      <c r="A446" s="50"/>
      <c r="B446" s="47"/>
      <c r="C446" s="47"/>
      <c r="D446" s="47"/>
      <c r="E446" s="47"/>
      <c r="F446" s="52" t="str">
        <f>IF(E446="","",E446*IF(AND(A446&lt;&gt;"",Settings!$C$10&lt;&gt;"",YEAR(A446)=Settings!$C$5,MONTH(A446)&gt;=Settings!$C$10),Settings!$C$9,Settings!$C$6))</f>
        <v/>
      </c>
      <c r="G446" s="48" t="str">
        <f t="shared" si="6"/>
        <v/>
      </c>
    </row>
    <row r="447" spans="1:7" ht="16" x14ac:dyDescent="0.2">
      <c r="A447" s="50"/>
      <c r="B447" s="47"/>
      <c r="C447" s="47"/>
      <c r="D447" s="47"/>
      <c r="E447" s="47"/>
      <c r="F447" s="52" t="str">
        <f>IF(E447="","",E447*IF(AND(A447&lt;&gt;"",Settings!$C$10&lt;&gt;"",YEAR(A447)=Settings!$C$5,MONTH(A447)&gt;=Settings!$C$10),Settings!$C$9,Settings!$C$6))</f>
        <v/>
      </c>
      <c r="G447" s="48" t="str">
        <f t="shared" si="6"/>
        <v/>
      </c>
    </row>
    <row r="448" spans="1:7" ht="16" x14ac:dyDescent="0.2">
      <c r="A448" s="50"/>
      <c r="B448" s="47"/>
      <c r="C448" s="47"/>
      <c r="D448" s="47"/>
      <c r="E448" s="47"/>
      <c r="F448" s="52" t="str">
        <f>IF(E448="","",E448*IF(AND(A448&lt;&gt;"",Settings!$C$10&lt;&gt;"",YEAR(A448)=Settings!$C$5,MONTH(A448)&gt;=Settings!$C$10),Settings!$C$9,Settings!$C$6))</f>
        <v/>
      </c>
      <c r="G448" s="48" t="str">
        <f t="shared" si="6"/>
        <v/>
      </c>
    </row>
    <row r="449" spans="1:7" ht="16" x14ac:dyDescent="0.2">
      <c r="A449" s="50"/>
      <c r="B449" s="47"/>
      <c r="C449" s="47"/>
      <c r="D449" s="47"/>
      <c r="E449" s="47"/>
      <c r="F449" s="52" t="str">
        <f>IF(E449="","",E449*IF(AND(A449&lt;&gt;"",Settings!$C$10&lt;&gt;"",YEAR(A449)=Settings!$C$5,MONTH(A449)&gt;=Settings!$C$10),Settings!$C$9,Settings!$C$6))</f>
        <v/>
      </c>
      <c r="G449" s="48" t="str">
        <f t="shared" si="6"/>
        <v/>
      </c>
    </row>
    <row r="450" spans="1:7" ht="16" x14ac:dyDescent="0.2">
      <c r="A450" s="50"/>
      <c r="B450" s="47"/>
      <c r="C450" s="47"/>
      <c r="D450" s="47"/>
      <c r="E450" s="47"/>
      <c r="F450" s="52" t="str">
        <f>IF(E450="","",E450*IF(AND(A450&lt;&gt;"",Settings!$C$10&lt;&gt;"",YEAR(A450)=Settings!$C$5,MONTH(A450)&gt;=Settings!$C$10),Settings!$C$9,Settings!$C$6))</f>
        <v/>
      </c>
      <c r="G450" s="48" t="str">
        <f t="shared" si="6"/>
        <v/>
      </c>
    </row>
    <row r="451" spans="1:7" ht="16" x14ac:dyDescent="0.2">
      <c r="A451" s="50"/>
      <c r="B451" s="47"/>
      <c r="C451" s="47"/>
      <c r="D451" s="47"/>
      <c r="E451" s="47"/>
      <c r="F451" s="52" t="str">
        <f>IF(E451="","",E451*IF(AND(A451&lt;&gt;"",Settings!$C$10&lt;&gt;"",YEAR(A451)=Settings!$C$5,MONTH(A451)&gt;=Settings!$C$10),Settings!$C$9,Settings!$C$6))</f>
        <v/>
      </c>
      <c r="G451" s="48" t="str">
        <f t="shared" si="6"/>
        <v/>
      </c>
    </row>
    <row r="452" spans="1:7" ht="16" x14ac:dyDescent="0.2">
      <c r="A452" s="50"/>
      <c r="B452" s="47"/>
      <c r="C452" s="47"/>
      <c r="D452" s="47"/>
      <c r="E452" s="47"/>
      <c r="F452" s="52" t="str">
        <f>IF(E452="","",E452*IF(AND(A452&lt;&gt;"",Settings!$C$10&lt;&gt;"",YEAR(A452)=Settings!$C$5,MONTH(A452)&gt;=Settings!$C$10),Settings!$C$9,Settings!$C$6))</f>
        <v/>
      </c>
      <c r="G452" s="48" t="str">
        <f t="shared" si="6"/>
        <v/>
      </c>
    </row>
    <row r="453" spans="1:7" ht="16" x14ac:dyDescent="0.2">
      <c r="A453" s="50"/>
      <c r="B453" s="47"/>
      <c r="C453" s="47"/>
      <c r="D453" s="47"/>
      <c r="E453" s="47"/>
      <c r="F453" s="52" t="str">
        <f>IF(E453="","",E453*IF(AND(A453&lt;&gt;"",Settings!$C$10&lt;&gt;"",YEAR(A453)=Settings!$C$5,MONTH(A453)&gt;=Settings!$C$10),Settings!$C$9,Settings!$C$6))</f>
        <v/>
      </c>
      <c r="G453" s="48" t="str">
        <f t="shared" si="6"/>
        <v/>
      </c>
    </row>
    <row r="454" spans="1:7" ht="16" x14ac:dyDescent="0.2">
      <c r="A454" s="50"/>
      <c r="B454" s="47"/>
      <c r="C454" s="47"/>
      <c r="D454" s="47"/>
      <c r="E454" s="47"/>
      <c r="F454" s="52" t="str">
        <f>IF(E454="","",E454*IF(AND(A454&lt;&gt;"",Settings!$C$10&lt;&gt;"",YEAR(A454)=Settings!$C$5,MONTH(A454)&gt;=Settings!$C$10),Settings!$C$9,Settings!$C$6))</f>
        <v/>
      </c>
      <c r="G454" s="48" t="str">
        <f t="shared" si="6"/>
        <v/>
      </c>
    </row>
    <row r="455" spans="1:7" ht="16" x14ac:dyDescent="0.2">
      <c r="A455" s="50"/>
      <c r="B455" s="47"/>
      <c r="C455" s="47"/>
      <c r="D455" s="47"/>
      <c r="E455" s="47"/>
      <c r="F455" s="52" t="str">
        <f>IF(E455="","",E455*IF(AND(A455&lt;&gt;"",Settings!$C$10&lt;&gt;"",YEAR(A455)=Settings!$C$5,MONTH(A455)&gt;=Settings!$C$10),Settings!$C$9,Settings!$C$6))</f>
        <v/>
      </c>
      <c r="G455" s="48" t="str">
        <f t="shared" ref="G455:G506" si="7">IF(OR(A455="",E455=""),"",YEAR(A455))</f>
        <v/>
      </c>
    </row>
    <row r="456" spans="1:7" ht="16" x14ac:dyDescent="0.2">
      <c r="A456" s="50"/>
      <c r="B456" s="47"/>
      <c r="C456" s="47"/>
      <c r="D456" s="47"/>
      <c r="E456" s="47"/>
      <c r="F456" s="52" t="str">
        <f>IF(E456="","",E456*IF(AND(A456&lt;&gt;"",Settings!$C$10&lt;&gt;"",YEAR(A456)=Settings!$C$5,MONTH(A456)&gt;=Settings!$C$10),Settings!$C$9,Settings!$C$6))</f>
        <v/>
      </c>
      <c r="G456" s="48" t="str">
        <f t="shared" si="7"/>
        <v/>
      </c>
    </row>
    <row r="457" spans="1:7" ht="16" x14ac:dyDescent="0.2">
      <c r="A457" s="50"/>
      <c r="B457" s="47"/>
      <c r="C457" s="47"/>
      <c r="D457" s="47"/>
      <c r="E457" s="47"/>
      <c r="F457" s="52" t="str">
        <f>IF(E457="","",E457*IF(AND(A457&lt;&gt;"",Settings!$C$10&lt;&gt;"",YEAR(A457)=Settings!$C$5,MONTH(A457)&gt;=Settings!$C$10),Settings!$C$9,Settings!$C$6))</f>
        <v/>
      </c>
      <c r="G457" s="48" t="str">
        <f t="shared" si="7"/>
        <v/>
      </c>
    </row>
    <row r="458" spans="1:7" ht="16" x14ac:dyDescent="0.2">
      <c r="A458" s="50"/>
      <c r="B458" s="47"/>
      <c r="C458" s="47"/>
      <c r="D458" s="47"/>
      <c r="E458" s="47"/>
      <c r="F458" s="52" t="str">
        <f>IF(E458="","",E458*IF(AND(A458&lt;&gt;"",Settings!$C$10&lt;&gt;"",YEAR(A458)=Settings!$C$5,MONTH(A458)&gt;=Settings!$C$10),Settings!$C$9,Settings!$C$6))</f>
        <v/>
      </c>
      <c r="G458" s="48" t="str">
        <f t="shared" si="7"/>
        <v/>
      </c>
    </row>
    <row r="459" spans="1:7" ht="16" x14ac:dyDescent="0.2">
      <c r="A459" s="50"/>
      <c r="B459" s="47"/>
      <c r="C459" s="47"/>
      <c r="D459" s="47"/>
      <c r="E459" s="47"/>
      <c r="F459" s="52" t="str">
        <f>IF(E459="","",E459*IF(AND(A459&lt;&gt;"",Settings!$C$10&lt;&gt;"",YEAR(A459)=Settings!$C$5,MONTH(A459)&gt;=Settings!$C$10),Settings!$C$9,Settings!$C$6))</f>
        <v/>
      </c>
      <c r="G459" s="48" t="str">
        <f t="shared" si="7"/>
        <v/>
      </c>
    </row>
    <row r="460" spans="1:7" ht="16" x14ac:dyDescent="0.2">
      <c r="A460" s="50"/>
      <c r="B460" s="47"/>
      <c r="C460" s="47"/>
      <c r="D460" s="47"/>
      <c r="E460" s="47"/>
      <c r="F460" s="52" t="str">
        <f>IF(E460="","",E460*IF(AND(A460&lt;&gt;"",Settings!$C$10&lt;&gt;"",YEAR(A460)=Settings!$C$5,MONTH(A460)&gt;=Settings!$C$10),Settings!$C$9,Settings!$C$6))</f>
        <v/>
      </c>
      <c r="G460" s="48" t="str">
        <f t="shared" si="7"/>
        <v/>
      </c>
    </row>
    <row r="461" spans="1:7" ht="16" x14ac:dyDescent="0.2">
      <c r="A461" s="50"/>
      <c r="B461" s="47"/>
      <c r="C461" s="47"/>
      <c r="D461" s="47"/>
      <c r="E461" s="47"/>
      <c r="F461" s="52" t="str">
        <f>IF(E461="","",E461*IF(AND(A461&lt;&gt;"",Settings!$C$10&lt;&gt;"",YEAR(A461)=Settings!$C$5,MONTH(A461)&gt;=Settings!$C$10),Settings!$C$9,Settings!$C$6))</f>
        <v/>
      </c>
      <c r="G461" s="48" t="str">
        <f t="shared" si="7"/>
        <v/>
      </c>
    </row>
    <row r="462" spans="1:7" ht="16" x14ac:dyDescent="0.2">
      <c r="A462" s="50"/>
      <c r="B462" s="47"/>
      <c r="C462" s="47"/>
      <c r="D462" s="47"/>
      <c r="E462" s="47"/>
      <c r="F462" s="52" t="str">
        <f>IF(E462="","",E462*IF(AND(A462&lt;&gt;"",Settings!$C$10&lt;&gt;"",YEAR(A462)=Settings!$C$5,MONTH(A462)&gt;=Settings!$C$10),Settings!$C$9,Settings!$C$6))</f>
        <v/>
      </c>
      <c r="G462" s="48" t="str">
        <f t="shared" si="7"/>
        <v/>
      </c>
    </row>
    <row r="463" spans="1:7" ht="16" x14ac:dyDescent="0.2">
      <c r="A463" s="50"/>
      <c r="B463" s="47"/>
      <c r="C463" s="47"/>
      <c r="D463" s="47"/>
      <c r="E463" s="47"/>
      <c r="F463" s="52" t="str">
        <f>IF(E463="","",E463*IF(AND(A463&lt;&gt;"",Settings!$C$10&lt;&gt;"",YEAR(A463)=Settings!$C$5,MONTH(A463)&gt;=Settings!$C$10),Settings!$C$9,Settings!$C$6))</f>
        <v/>
      </c>
      <c r="G463" s="48" t="str">
        <f t="shared" si="7"/>
        <v/>
      </c>
    </row>
    <row r="464" spans="1:7" ht="16" x14ac:dyDescent="0.2">
      <c r="A464" s="50"/>
      <c r="B464" s="47"/>
      <c r="C464" s="47"/>
      <c r="D464" s="47"/>
      <c r="E464" s="47"/>
      <c r="F464" s="52" t="str">
        <f>IF(E464="","",E464*IF(AND(A464&lt;&gt;"",Settings!$C$10&lt;&gt;"",YEAR(A464)=Settings!$C$5,MONTH(A464)&gt;=Settings!$C$10),Settings!$C$9,Settings!$C$6))</f>
        <v/>
      </c>
      <c r="G464" s="48" t="str">
        <f t="shared" si="7"/>
        <v/>
      </c>
    </row>
    <row r="465" spans="1:7" ht="16" x14ac:dyDescent="0.2">
      <c r="A465" s="50"/>
      <c r="B465" s="47"/>
      <c r="C465" s="47"/>
      <c r="D465" s="47"/>
      <c r="E465" s="47"/>
      <c r="F465" s="52" t="str">
        <f>IF(E465="","",E465*IF(AND(A465&lt;&gt;"",Settings!$C$10&lt;&gt;"",YEAR(A465)=Settings!$C$5,MONTH(A465)&gt;=Settings!$C$10),Settings!$C$9,Settings!$C$6))</f>
        <v/>
      </c>
      <c r="G465" s="48" t="str">
        <f t="shared" si="7"/>
        <v/>
      </c>
    </row>
    <row r="466" spans="1:7" ht="16" x14ac:dyDescent="0.2">
      <c r="A466" s="50"/>
      <c r="B466" s="47"/>
      <c r="C466" s="47"/>
      <c r="D466" s="47"/>
      <c r="E466" s="47"/>
      <c r="F466" s="52" t="str">
        <f>IF(E466="","",E466*IF(AND(A466&lt;&gt;"",Settings!$C$10&lt;&gt;"",YEAR(A466)=Settings!$C$5,MONTH(A466)&gt;=Settings!$C$10),Settings!$C$9,Settings!$C$6))</f>
        <v/>
      </c>
      <c r="G466" s="48" t="str">
        <f t="shared" si="7"/>
        <v/>
      </c>
    </row>
    <row r="467" spans="1:7" ht="16" x14ac:dyDescent="0.2">
      <c r="A467" s="50"/>
      <c r="B467" s="47"/>
      <c r="C467" s="47"/>
      <c r="D467" s="47"/>
      <c r="E467" s="47"/>
      <c r="F467" s="52" t="str">
        <f>IF(E467="","",E467*IF(AND(A467&lt;&gt;"",Settings!$C$10&lt;&gt;"",YEAR(A467)=Settings!$C$5,MONTH(A467)&gt;=Settings!$C$10),Settings!$C$9,Settings!$C$6))</f>
        <v/>
      </c>
      <c r="G467" s="48" t="str">
        <f t="shared" si="7"/>
        <v/>
      </c>
    </row>
    <row r="468" spans="1:7" ht="16" x14ac:dyDescent="0.2">
      <c r="A468" s="50"/>
      <c r="B468" s="47"/>
      <c r="C468" s="47"/>
      <c r="D468" s="47"/>
      <c r="E468" s="47"/>
      <c r="F468" s="52" t="str">
        <f>IF(E468="","",E468*IF(AND(A468&lt;&gt;"",Settings!$C$10&lt;&gt;"",YEAR(A468)=Settings!$C$5,MONTH(A468)&gt;=Settings!$C$10),Settings!$C$9,Settings!$C$6))</f>
        <v/>
      </c>
      <c r="G468" s="48" t="str">
        <f t="shared" si="7"/>
        <v/>
      </c>
    </row>
    <row r="469" spans="1:7" ht="16" x14ac:dyDescent="0.2">
      <c r="A469" s="50"/>
      <c r="B469" s="47"/>
      <c r="C469" s="47"/>
      <c r="D469" s="47"/>
      <c r="E469" s="47"/>
      <c r="F469" s="52" t="str">
        <f>IF(E469="","",E469*IF(AND(A469&lt;&gt;"",Settings!$C$10&lt;&gt;"",YEAR(A469)=Settings!$C$5,MONTH(A469)&gt;=Settings!$C$10),Settings!$C$9,Settings!$C$6))</f>
        <v/>
      </c>
      <c r="G469" s="48" t="str">
        <f t="shared" si="7"/>
        <v/>
      </c>
    </row>
    <row r="470" spans="1:7" ht="16" x14ac:dyDescent="0.2">
      <c r="A470" s="50"/>
      <c r="B470" s="47"/>
      <c r="C470" s="47"/>
      <c r="D470" s="47"/>
      <c r="E470" s="47"/>
      <c r="F470" s="52" t="str">
        <f>IF(E470="","",E470*IF(AND(A470&lt;&gt;"",Settings!$C$10&lt;&gt;"",YEAR(A470)=Settings!$C$5,MONTH(A470)&gt;=Settings!$C$10),Settings!$C$9,Settings!$C$6))</f>
        <v/>
      </c>
      <c r="G470" s="48" t="str">
        <f t="shared" si="7"/>
        <v/>
      </c>
    </row>
    <row r="471" spans="1:7" ht="16" x14ac:dyDescent="0.2">
      <c r="A471" s="50"/>
      <c r="B471" s="47"/>
      <c r="C471" s="47"/>
      <c r="D471" s="47"/>
      <c r="E471" s="47"/>
      <c r="F471" s="52" t="str">
        <f>IF(E471="","",E471*IF(AND(A471&lt;&gt;"",Settings!$C$10&lt;&gt;"",YEAR(A471)=Settings!$C$5,MONTH(A471)&gt;=Settings!$C$10),Settings!$C$9,Settings!$C$6))</f>
        <v/>
      </c>
      <c r="G471" s="48" t="str">
        <f t="shared" si="7"/>
        <v/>
      </c>
    </row>
    <row r="472" spans="1:7" ht="16" x14ac:dyDescent="0.2">
      <c r="A472" s="50"/>
      <c r="B472" s="47"/>
      <c r="C472" s="47"/>
      <c r="D472" s="47"/>
      <c r="E472" s="47"/>
      <c r="F472" s="52" t="str">
        <f>IF(E472="","",E472*IF(AND(A472&lt;&gt;"",Settings!$C$10&lt;&gt;"",YEAR(A472)=Settings!$C$5,MONTH(A472)&gt;=Settings!$C$10),Settings!$C$9,Settings!$C$6))</f>
        <v/>
      </c>
      <c r="G472" s="48" t="str">
        <f t="shared" si="7"/>
        <v/>
      </c>
    </row>
    <row r="473" spans="1:7" ht="16" x14ac:dyDescent="0.2">
      <c r="A473" s="50"/>
      <c r="B473" s="47"/>
      <c r="C473" s="47"/>
      <c r="D473" s="47"/>
      <c r="E473" s="47"/>
      <c r="F473" s="52" t="str">
        <f>IF(E473="","",E473*IF(AND(A473&lt;&gt;"",Settings!$C$10&lt;&gt;"",YEAR(A473)=Settings!$C$5,MONTH(A473)&gt;=Settings!$C$10),Settings!$C$9,Settings!$C$6))</f>
        <v/>
      </c>
      <c r="G473" s="48" t="str">
        <f t="shared" si="7"/>
        <v/>
      </c>
    </row>
    <row r="474" spans="1:7" ht="16" x14ac:dyDescent="0.2">
      <c r="A474" s="50"/>
      <c r="B474" s="47"/>
      <c r="C474" s="47"/>
      <c r="D474" s="47"/>
      <c r="E474" s="47"/>
      <c r="F474" s="52" t="str">
        <f>IF(E474="","",E474*IF(AND(A474&lt;&gt;"",Settings!$C$10&lt;&gt;"",YEAR(A474)=Settings!$C$5,MONTH(A474)&gt;=Settings!$C$10),Settings!$C$9,Settings!$C$6))</f>
        <v/>
      </c>
      <c r="G474" s="48" t="str">
        <f t="shared" si="7"/>
        <v/>
      </c>
    </row>
    <row r="475" spans="1:7" ht="16" x14ac:dyDescent="0.2">
      <c r="A475" s="50"/>
      <c r="B475" s="47"/>
      <c r="C475" s="47"/>
      <c r="D475" s="47"/>
      <c r="E475" s="47"/>
      <c r="F475" s="52" t="str">
        <f>IF(E475="","",E475*IF(AND(A475&lt;&gt;"",Settings!$C$10&lt;&gt;"",YEAR(A475)=Settings!$C$5,MONTH(A475)&gt;=Settings!$C$10),Settings!$C$9,Settings!$C$6))</f>
        <v/>
      </c>
      <c r="G475" s="48" t="str">
        <f t="shared" si="7"/>
        <v/>
      </c>
    </row>
    <row r="476" spans="1:7" ht="16" x14ac:dyDescent="0.2">
      <c r="A476" s="50"/>
      <c r="B476" s="47"/>
      <c r="C476" s="47"/>
      <c r="D476" s="47"/>
      <c r="E476" s="47"/>
      <c r="F476" s="52" t="str">
        <f>IF(E476="","",E476*IF(AND(A476&lt;&gt;"",Settings!$C$10&lt;&gt;"",YEAR(A476)=Settings!$C$5,MONTH(A476)&gt;=Settings!$C$10),Settings!$C$9,Settings!$C$6))</f>
        <v/>
      </c>
      <c r="G476" s="48" t="str">
        <f t="shared" si="7"/>
        <v/>
      </c>
    </row>
    <row r="477" spans="1:7" ht="16" x14ac:dyDescent="0.2">
      <c r="A477" s="50"/>
      <c r="B477" s="47"/>
      <c r="C477" s="47"/>
      <c r="D477" s="47"/>
      <c r="E477" s="47"/>
      <c r="F477" s="52" t="str">
        <f>IF(E477="","",E477*IF(AND(A477&lt;&gt;"",Settings!$C$10&lt;&gt;"",YEAR(A477)=Settings!$C$5,MONTH(A477)&gt;=Settings!$C$10),Settings!$C$9,Settings!$C$6))</f>
        <v/>
      </c>
      <c r="G477" s="48" t="str">
        <f t="shared" si="7"/>
        <v/>
      </c>
    </row>
    <row r="478" spans="1:7" ht="16" x14ac:dyDescent="0.2">
      <c r="A478" s="50"/>
      <c r="B478" s="47"/>
      <c r="C478" s="47"/>
      <c r="D478" s="47"/>
      <c r="E478" s="47"/>
      <c r="F478" s="52" t="str">
        <f>IF(E478="","",E478*IF(AND(A478&lt;&gt;"",Settings!$C$10&lt;&gt;"",YEAR(A478)=Settings!$C$5,MONTH(A478)&gt;=Settings!$C$10),Settings!$C$9,Settings!$C$6))</f>
        <v/>
      </c>
      <c r="G478" s="48" t="str">
        <f t="shared" si="7"/>
        <v/>
      </c>
    </row>
    <row r="479" spans="1:7" ht="16" x14ac:dyDescent="0.2">
      <c r="A479" s="50"/>
      <c r="B479" s="47"/>
      <c r="C479" s="47"/>
      <c r="D479" s="47"/>
      <c r="E479" s="47"/>
      <c r="F479" s="52" t="str">
        <f>IF(E479="","",E479*IF(AND(A479&lt;&gt;"",Settings!$C$10&lt;&gt;"",YEAR(A479)=Settings!$C$5,MONTH(A479)&gt;=Settings!$C$10),Settings!$C$9,Settings!$C$6))</f>
        <v/>
      </c>
      <c r="G479" s="48" t="str">
        <f t="shared" si="7"/>
        <v/>
      </c>
    </row>
    <row r="480" spans="1:7" ht="16" x14ac:dyDescent="0.2">
      <c r="A480" s="50"/>
      <c r="B480" s="47"/>
      <c r="C480" s="47"/>
      <c r="D480" s="47"/>
      <c r="E480" s="47"/>
      <c r="F480" s="52" t="str">
        <f>IF(E480="","",E480*IF(AND(A480&lt;&gt;"",Settings!$C$10&lt;&gt;"",YEAR(A480)=Settings!$C$5,MONTH(A480)&gt;=Settings!$C$10),Settings!$C$9,Settings!$C$6))</f>
        <v/>
      </c>
      <c r="G480" s="48" t="str">
        <f t="shared" si="7"/>
        <v/>
      </c>
    </row>
    <row r="481" spans="1:7" ht="16" x14ac:dyDescent="0.2">
      <c r="A481" s="50"/>
      <c r="B481" s="47"/>
      <c r="C481" s="47"/>
      <c r="D481" s="47"/>
      <c r="E481" s="47"/>
      <c r="F481" s="52" t="str">
        <f>IF(E481="","",E481*IF(AND(A481&lt;&gt;"",Settings!$C$10&lt;&gt;"",YEAR(A481)=Settings!$C$5,MONTH(A481)&gt;=Settings!$C$10),Settings!$C$9,Settings!$C$6))</f>
        <v/>
      </c>
      <c r="G481" s="48" t="str">
        <f t="shared" si="7"/>
        <v/>
      </c>
    </row>
    <row r="482" spans="1:7" ht="16" x14ac:dyDescent="0.2">
      <c r="A482" s="50"/>
      <c r="B482" s="47"/>
      <c r="C482" s="47"/>
      <c r="D482" s="47"/>
      <c r="E482" s="47"/>
      <c r="F482" s="52" t="str">
        <f>IF(E482="","",E482*IF(AND(A482&lt;&gt;"",Settings!$C$10&lt;&gt;"",YEAR(A482)=Settings!$C$5,MONTH(A482)&gt;=Settings!$C$10),Settings!$C$9,Settings!$C$6))</f>
        <v/>
      </c>
      <c r="G482" s="48" t="str">
        <f t="shared" si="7"/>
        <v/>
      </c>
    </row>
    <row r="483" spans="1:7" ht="16" x14ac:dyDescent="0.2">
      <c r="A483" s="50"/>
      <c r="B483" s="47"/>
      <c r="C483" s="47"/>
      <c r="D483" s="47"/>
      <c r="E483" s="47"/>
      <c r="F483" s="52" t="str">
        <f>IF(E483="","",E483*IF(AND(A483&lt;&gt;"",Settings!$C$10&lt;&gt;"",YEAR(A483)=Settings!$C$5,MONTH(A483)&gt;=Settings!$C$10),Settings!$C$9,Settings!$C$6))</f>
        <v/>
      </c>
      <c r="G483" s="48" t="str">
        <f t="shared" si="7"/>
        <v/>
      </c>
    </row>
    <row r="484" spans="1:7" ht="16" x14ac:dyDescent="0.2">
      <c r="A484" s="50"/>
      <c r="B484" s="47"/>
      <c r="C484" s="47"/>
      <c r="D484" s="47"/>
      <c r="E484" s="47"/>
      <c r="F484" s="52" t="str">
        <f>IF(E484="","",E484*IF(AND(A484&lt;&gt;"",Settings!$C$10&lt;&gt;"",YEAR(A484)=Settings!$C$5,MONTH(A484)&gt;=Settings!$C$10),Settings!$C$9,Settings!$C$6))</f>
        <v/>
      </c>
      <c r="G484" s="48" t="str">
        <f t="shared" si="7"/>
        <v/>
      </c>
    </row>
    <row r="485" spans="1:7" ht="16" x14ac:dyDescent="0.2">
      <c r="A485" s="50"/>
      <c r="B485" s="47"/>
      <c r="C485" s="47"/>
      <c r="D485" s="47"/>
      <c r="E485" s="47"/>
      <c r="F485" s="52" t="str">
        <f>IF(E485="","",E485*IF(AND(A485&lt;&gt;"",Settings!$C$10&lt;&gt;"",YEAR(A485)=Settings!$C$5,MONTH(A485)&gt;=Settings!$C$10),Settings!$C$9,Settings!$C$6))</f>
        <v/>
      </c>
      <c r="G485" s="48" t="str">
        <f t="shared" si="7"/>
        <v/>
      </c>
    </row>
    <row r="486" spans="1:7" ht="16" x14ac:dyDescent="0.2">
      <c r="A486" s="50"/>
      <c r="B486" s="47"/>
      <c r="C486" s="47"/>
      <c r="D486" s="47"/>
      <c r="E486" s="47"/>
      <c r="F486" s="52" t="str">
        <f>IF(E486="","",E486*IF(AND(A486&lt;&gt;"",Settings!$C$10&lt;&gt;"",YEAR(A486)=Settings!$C$5,MONTH(A486)&gt;=Settings!$C$10),Settings!$C$9,Settings!$C$6))</f>
        <v/>
      </c>
      <c r="G486" s="48" t="str">
        <f t="shared" si="7"/>
        <v/>
      </c>
    </row>
    <row r="487" spans="1:7" ht="16" x14ac:dyDescent="0.2">
      <c r="A487" s="50"/>
      <c r="B487" s="47"/>
      <c r="C487" s="47"/>
      <c r="D487" s="47"/>
      <c r="E487" s="47"/>
      <c r="F487" s="52" t="str">
        <f>IF(E487="","",E487*IF(AND(A487&lt;&gt;"",Settings!$C$10&lt;&gt;"",YEAR(A487)=Settings!$C$5,MONTH(A487)&gt;=Settings!$C$10),Settings!$C$9,Settings!$C$6))</f>
        <v/>
      </c>
      <c r="G487" s="48" t="str">
        <f t="shared" si="7"/>
        <v/>
      </c>
    </row>
    <row r="488" spans="1:7" ht="16" x14ac:dyDescent="0.2">
      <c r="A488" s="50"/>
      <c r="B488" s="47"/>
      <c r="C488" s="47"/>
      <c r="D488" s="47"/>
      <c r="E488" s="47"/>
      <c r="F488" s="52" t="str">
        <f>IF(E488="","",E488*IF(AND(A488&lt;&gt;"",Settings!$C$10&lt;&gt;"",YEAR(A488)=Settings!$C$5,MONTH(A488)&gt;=Settings!$C$10),Settings!$C$9,Settings!$C$6))</f>
        <v/>
      </c>
      <c r="G488" s="48" t="str">
        <f t="shared" si="7"/>
        <v/>
      </c>
    </row>
    <row r="489" spans="1:7" ht="16" x14ac:dyDescent="0.2">
      <c r="A489" s="50"/>
      <c r="B489" s="47"/>
      <c r="C489" s="47"/>
      <c r="D489" s="47"/>
      <c r="E489" s="47"/>
      <c r="F489" s="52" t="str">
        <f>IF(E489="","",E489*IF(AND(A489&lt;&gt;"",Settings!$C$10&lt;&gt;"",YEAR(A489)=Settings!$C$5,MONTH(A489)&gt;=Settings!$C$10),Settings!$C$9,Settings!$C$6))</f>
        <v/>
      </c>
      <c r="G489" s="48" t="str">
        <f t="shared" si="7"/>
        <v/>
      </c>
    </row>
    <row r="490" spans="1:7" ht="16" x14ac:dyDescent="0.2">
      <c r="A490" s="50"/>
      <c r="B490" s="47"/>
      <c r="C490" s="47"/>
      <c r="D490" s="47"/>
      <c r="E490" s="47"/>
      <c r="F490" s="52" t="str">
        <f>IF(E490="","",E490*IF(AND(A490&lt;&gt;"",Settings!$C$10&lt;&gt;"",YEAR(A490)=Settings!$C$5,MONTH(A490)&gt;=Settings!$C$10),Settings!$C$9,Settings!$C$6))</f>
        <v/>
      </c>
      <c r="G490" s="48" t="str">
        <f t="shared" si="7"/>
        <v/>
      </c>
    </row>
    <row r="491" spans="1:7" ht="16" x14ac:dyDescent="0.2">
      <c r="A491" s="50"/>
      <c r="B491" s="47"/>
      <c r="C491" s="47"/>
      <c r="D491" s="47"/>
      <c r="E491" s="47"/>
      <c r="F491" s="52" t="str">
        <f>IF(E491="","",E491*IF(AND(A491&lt;&gt;"",Settings!$C$10&lt;&gt;"",YEAR(A491)=Settings!$C$5,MONTH(A491)&gt;=Settings!$C$10),Settings!$C$9,Settings!$C$6))</f>
        <v/>
      </c>
      <c r="G491" s="48" t="str">
        <f t="shared" si="7"/>
        <v/>
      </c>
    </row>
    <row r="492" spans="1:7" ht="16" x14ac:dyDescent="0.2">
      <c r="A492" s="50"/>
      <c r="B492" s="47"/>
      <c r="C492" s="47"/>
      <c r="D492" s="47"/>
      <c r="E492" s="47"/>
      <c r="F492" s="52" t="str">
        <f>IF(E492="","",E492*IF(AND(A492&lt;&gt;"",Settings!$C$10&lt;&gt;"",YEAR(A492)=Settings!$C$5,MONTH(A492)&gt;=Settings!$C$10),Settings!$C$9,Settings!$C$6))</f>
        <v/>
      </c>
      <c r="G492" s="48" t="str">
        <f t="shared" si="7"/>
        <v/>
      </c>
    </row>
    <row r="493" spans="1:7" ht="16" x14ac:dyDescent="0.2">
      <c r="A493" s="50"/>
      <c r="B493" s="47"/>
      <c r="C493" s="47"/>
      <c r="D493" s="47"/>
      <c r="E493" s="47"/>
      <c r="F493" s="52" t="str">
        <f>IF(E493="","",E493*IF(AND(A493&lt;&gt;"",Settings!$C$10&lt;&gt;"",YEAR(A493)=Settings!$C$5,MONTH(A493)&gt;=Settings!$C$10),Settings!$C$9,Settings!$C$6))</f>
        <v/>
      </c>
      <c r="G493" s="48" t="str">
        <f t="shared" si="7"/>
        <v/>
      </c>
    </row>
    <row r="494" spans="1:7" ht="16" x14ac:dyDescent="0.2">
      <c r="A494" s="50"/>
      <c r="B494" s="47"/>
      <c r="C494" s="47"/>
      <c r="D494" s="47"/>
      <c r="E494" s="47"/>
      <c r="F494" s="52" t="str">
        <f>IF(E494="","",E494*IF(AND(A494&lt;&gt;"",Settings!$C$10&lt;&gt;"",YEAR(A494)=Settings!$C$5,MONTH(A494)&gt;=Settings!$C$10),Settings!$C$9,Settings!$C$6))</f>
        <v/>
      </c>
      <c r="G494" s="48" t="str">
        <f t="shared" si="7"/>
        <v/>
      </c>
    </row>
    <row r="495" spans="1:7" ht="16" x14ac:dyDescent="0.2">
      <c r="A495" s="50"/>
      <c r="B495" s="47"/>
      <c r="C495" s="47"/>
      <c r="D495" s="47"/>
      <c r="E495" s="47"/>
      <c r="F495" s="52" t="str">
        <f>IF(E495="","",E495*IF(AND(A495&lt;&gt;"",Settings!$C$10&lt;&gt;"",YEAR(A495)=Settings!$C$5,MONTH(A495)&gt;=Settings!$C$10),Settings!$C$9,Settings!$C$6))</f>
        <v/>
      </c>
      <c r="G495" s="48" t="str">
        <f t="shared" si="7"/>
        <v/>
      </c>
    </row>
    <row r="496" spans="1:7" ht="16" x14ac:dyDescent="0.2">
      <c r="A496" s="50"/>
      <c r="B496" s="47"/>
      <c r="C496" s="47"/>
      <c r="D496" s="47"/>
      <c r="E496" s="47"/>
      <c r="F496" s="52" t="str">
        <f>IF(E496="","",E496*IF(AND(A496&lt;&gt;"",Settings!$C$10&lt;&gt;"",YEAR(A496)=Settings!$C$5,MONTH(A496)&gt;=Settings!$C$10),Settings!$C$9,Settings!$C$6))</f>
        <v/>
      </c>
      <c r="G496" s="48" t="str">
        <f t="shared" si="7"/>
        <v/>
      </c>
    </row>
    <row r="497" spans="1:7" ht="16" x14ac:dyDescent="0.2">
      <c r="A497" s="50"/>
      <c r="B497" s="47"/>
      <c r="C497" s="47"/>
      <c r="D497" s="47"/>
      <c r="E497" s="47"/>
      <c r="F497" s="52" t="str">
        <f>IF(E497="","",E497*IF(AND(A497&lt;&gt;"",Settings!$C$10&lt;&gt;"",YEAR(A497)=Settings!$C$5,MONTH(A497)&gt;=Settings!$C$10),Settings!$C$9,Settings!$C$6))</f>
        <v/>
      </c>
      <c r="G497" s="48" t="str">
        <f t="shared" si="7"/>
        <v/>
      </c>
    </row>
    <row r="498" spans="1:7" ht="16" x14ac:dyDescent="0.2">
      <c r="A498" s="50"/>
      <c r="B498" s="47"/>
      <c r="C498" s="47"/>
      <c r="D498" s="47"/>
      <c r="E498" s="47"/>
      <c r="F498" s="52" t="str">
        <f>IF(E498="","",E498*IF(AND(A498&lt;&gt;"",Settings!$C$10&lt;&gt;"",YEAR(A498)=Settings!$C$5,MONTH(A498)&gt;=Settings!$C$10),Settings!$C$9,Settings!$C$6))</f>
        <v/>
      </c>
      <c r="G498" s="48" t="str">
        <f t="shared" si="7"/>
        <v/>
      </c>
    </row>
    <row r="499" spans="1:7" ht="16" x14ac:dyDescent="0.2">
      <c r="A499" s="50"/>
      <c r="B499" s="47"/>
      <c r="C499" s="47"/>
      <c r="D499" s="47"/>
      <c r="E499" s="47"/>
      <c r="F499" s="52" t="str">
        <f>IF(E499="","",E499*IF(AND(A499&lt;&gt;"",Settings!$C$10&lt;&gt;"",YEAR(A499)=Settings!$C$5,MONTH(A499)&gt;=Settings!$C$10),Settings!$C$9,Settings!$C$6))</f>
        <v/>
      </c>
      <c r="G499" s="48" t="str">
        <f t="shared" si="7"/>
        <v/>
      </c>
    </row>
    <row r="500" spans="1:7" ht="16" x14ac:dyDescent="0.2">
      <c r="A500" s="50"/>
      <c r="B500" s="47"/>
      <c r="C500" s="47"/>
      <c r="D500" s="47"/>
      <c r="E500" s="47"/>
      <c r="F500" s="52" t="str">
        <f>IF(E500="","",E500*IF(AND(A500&lt;&gt;"",Settings!$C$10&lt;&gt;"",YEAR(A500)=Settings!$C$5,MONTH(A500)&gt;=Settings!$C$10),Settings!$C$9,Settings!$C$6))</f>
        <v/>
      </c>
      <c r="G500" s="48" t="str">
        <f t="shared" si="7"/>
        <v/>
      </c>
    </row>
    <row r="501" spans="1:7" ht="16" x14ac:dyDescent="0.2">
      <c r="A501" s="50"/>
      <c r="B501" s="47"/>
      <c r="C501" s="47"/>
      <c r="D501" s="47"/>
      <c r="E501" s="47"/>
      <c r="F501" s="52" t="str">
        <f>IF(E501="","",E501*IF(AND(A501&lt;&gt;"",Settings!$C$10&lt;&gt;"",YEAR(A501)=Settings!$C$5,MONTH(A501)&gt;=Settings!$C$10),Settings!$C$9,Settings!$C$6))</f>
        <v/>
      </c>
      <c r="G501" s="48" t="str">
        <f t="shared" si="7"/>
        <v/>
      </c>
    </row>
    <row r="502" spans="1:7" ht="16" x14ac:dyDescent="0.2">
      <c r="A502" s="50"/>
      <c r="B502" s="47"/>
      <c r="C502" s="47"/>
      <c r="D502" s="47"/>
      <c r="E502" s="47"/>
      <c r="F502" s="52" t="str">
        <f>IF(E502="","",E502*IF(AND(A502&lt;&gt;"",Settings!$C$10&lt;&gt;"",YEAR(A502)=Settings!$C$5,MONTH(A502)&gt;=Settings!$C$10),Settings!$C$9,Settings!$C$6))</f>
        <v/>
      </c>
      <c r="G502" s="48" t="str">
        <f t="shared" si="7"/>
        <v/>
      </c>
    </row>
    <row r="503" spans="1:7" ht="16" x14ac:dyDescent="0.2">
      <c r="A503" s="50"/>
      <c r="B503" s="47"/>
      <c r="C503" s="47"/>
      <c r="D503" s="47"/>
      <c r="E503" s="47"/>
      <c r="F503" s="52" t="str">
        <f>IF(E503="","",E503*IF(AND(A503&lt;&gt;"",Settings!$C$10&lt;&gt;"",YEAR(A503)=Settings!$C$5,MONTH(A503)&gt;=Settings!$C$10),Settings!$C$9,Settings!$C$6))</f>
        <v/>
      </c>
      <c r="G503" s="48" t="str">
        <f t="shared" si="7"/>
        <v/>
      </c>
    </row>
    <row r="504" spans="1:7" ht="16" x14ac:dyDescent="0.2">
      <c r="A504" s="50"/>
      <c r="B504" s="47"/>
      <c r="C504" s="47"/>
      <c r="D504" s="47"/>
      <c r="E504" s="47"/>
      <c r="F504" s="52" t="str">
        <f>IF(E504="","",E504*IF(AND(A504&lt;&gt;"",Settings!$C$10&lt;&gt;"",YEAR(A504)=Settings!$C$5,MONTH(A504)&gt;=Settings!$C$10),Settings!$C$9,Settings!$C$6))</f>
        <v/>
      </c>
      <c r="G504" s="48" t="str">
        <f t="shared" si="7"/>
        <v/>
      </c>
    </row>
    <row r="505" spans="1:7" ht="16" x14ac:dyDescent="0.2">
      <c r="A505" s="50"/>
      <c r="B505" s="47"/>
      <c r="C505" s="47"/>
      <c r="D505" s="47"/>
      <c r="E505" s="47"/>
      <c r="F505" s="52" t="str">
        <f>IF(E505="","",E505*IF(AND(A505&lt;&gt;"",Settings!$C$10&lt;&gt;"",YEAR(A505)=Settings!$C$5,MONTH(A505)&gt;=Settings!$C$10),Settings!$C$9,Settings!$C$6))</f>
        <v/>
      </c>
      <c r="G505" s="48" t="str">
        <f t="shared" si="7"/>
        <v/>
      </c>
    </row>
    <row r="506" spans="1:7" ht="16" x14ac:dyDescent="0.2">
      <c r="A506" s="50"/>
      <c r="B506" s="47"/>
      <c r="C506" s="47"/>
      <c r="D506" s="47"/>
      <c r="E506" s="47"/>
      <c r="F506" s="52" t="str">
        <f>IF(E506="","",E506*IF(AND(A506&lt;&gt;"",Settings!$C$10&lt;&gt;"",YEAR(A506)=Settings!$C$5,MONTH(A506)&gt;=Settings!$C$10),Settings!$C$9,Settings!$C$6))</f>
        <v/>
      </c>
      <c r="G506" s="48" t="str">
        <f t="shared" si="7"/>
        <v/>
      </c>
    </row>
  </sheetData>
  <pageMargins left="0.75" right="0.75" top="1" bottom="1" header="0.511811023622047" footer="0.511811023622047"/>
  <pageSetup paperSize="1" orientation="portrait" horizontalDpi="300" verticalDpi="300"/>
  <ignoredErrors>
    <ignoredError sqref="A1:AZ1000" numberStoredAsText="1" formula="1" formulaRange="1" unlockedFormula="1" emptyCellReference="1"/>
  </ignoredErrors>
  <extLst>
    <ext xmlns:x14="http://schemas.microsoft.com/office/spreadsheetml/2009/9/main" uri="{CCE6A557-97BC-4b89-ADB6-D9C93CAAB3DF}">
      <x14:dataValidations xmlns:xm="http://schemas.microsoft.com/office/excel/2006/main" count="1">
        <x14:dataValidation type="list" allowBlank="1" showErrorMessage="1" errorTitle="Pick from the list" error="Please choose a value from the dropdown." xr:uid="{00000000-0002-0000-0800-000000000000}">
          <x14:formula1>
            <xm:f>Lists!$D$3:$D$13</xm:f>
          </x14:formula1>
          <x14:formula2>
            <xm:f>0</xm:f>
          </x14:formula2>
          <xm:sqref>B7:B506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16362E"/>
    <pageSetUpPr fitToPage="1"/>
  </sheetPr>
  <dimension ref="A1:M40"/>
  <sheetViews>
    <sheetView showGridLines="0" zoomScaleNormal="100" workbookViewId="0">
      <pane xSplit="2" ySplit="5" topLeftCell="C6" activePane="bottomRight" state="frozen"/>
      <selection pane="topRight" activeCell="C1" sqref="C1"/>
      <selection pane="bottomLeft" activeCell="A6" sqref="A6"/>
      <selection pane="bottomRight"/>
    </sheetView>
  </sheetViews>
  <sheetFormatPr baseColWidth="10" defaultColWidth="8.6640625" defaultRowHeight="15" x14ac:dyDescent="0.2"/>
  <cols>
    <col min="1" max="1" width="51" customWidth="1"/>
    <col min="2" max="2" width="29.83203125" customWidth="1"/>
    <col min="3" max="12" width="16.1640625" customWidth="1"/>
    <col min="13" max="13" width="17.1640625" customWidth="1"/>
  </cols>
  <sheetData>
    <row r="1" spans="1:13" ht="30" customHeight="1" x14ac:dyDescent="0.25">
      <c r="A1" s="21" t="s">
        <v>195</v>
      </c>
    </row>
    <row r="2" spans="1:13" ht="16" x14ac:dyDescent="0.2">
      <c r="A2" s="22" t="s">
        <v>196</v>
      </c>
    </row>
    <row r="3" spans="1:13" x14ac:dyDescent="0.2">
      <c r="A3" s="23" t="s">
        <v>1</v>
      </c>
    </row>
    <row r="4" spans="1:13" ht="17" x14ac:dyDescent="0.2">
      <c r="A4" s="24" t="str">
        <f>"Tax year: "&amp;Settings!$C$5</f>
        <v>Tax year: 2026</v>
      </c>
    </row>
    <row r="5" spans="1:13" ht="42" customHeight="1" x14ac:dyDescent="0.2">
      <c r="A5" s="27" t="s">
        <v>197</v>
      </c>
      <c r="B5" s="27" t="s">
        <v>198</v>
      </c>
      <c r="C5" s="27" t="str">
        <f>IF(Properties!$A$6="","",Properties!$A$6)</f>
        <v/>
      </c>
      <c r="D5" s="27" t="str">
        <f>IF(Properties!$A$7="","",Properties!$A$7)</f>
        <v/>
      </c>
      <c r="E5" s="27" t="str">
        <f>IF(Properties!$A$8="","",Properties!$A$8)</f>
        <v/>
      </c>
      <c r="F5" s="27" t="str">
        <f>IF(Properties!$A$9="","",Properties!$A$9)</f>
        <v/>
      </c>
      <c r="G5" s="27" t="str">
        <f>IF(Properties!$A$10="","",Properties!$A$10)</f>
        <v/>
      </c>
      <c r="H5" s="27" t="str">
        <f>IF(Properties!$A$11="","",Properties!$A$11)</f>
        <v/>
      </c>
      <c r="I5" s="27" t="str">
        <f>IF(Properties!$A$12="","",Properties!$A$12)</f>
        <v/>
      </c>
      <c r="J5" s="27" t="str">
        <f>IF(Properties!$A$13="","",Properties!$A$13)</f>
        <v/>
      </c>
      <c r="K5" s="27" t="str">
        <f>IF(Properties!$A$14="","",Properties!$A$14)</f>
        <v/>
      </c>
      <c r="L5" s="27" t="str">
        <f>IF(Properties!$A$15="","",Properties!$A$15)</f>
        <v/>
      </c>
      <c r="M5" s="27" t="s">
        <v>132</v>
      </c>
    </row>
    <row r="6" spans="1:13" x14ac:dyDescent="0.2">
      <c r="A6" s="55" t="s">
        <v>199</v>
      </c>
      <c r="C6" s="61" t="str">
        <f>IF(C$5="","",IFERROR(INDEX(Properties!$F$6:$F$15,MATCH(C$5,Properties!$A$6:$A$15,0))/Properties!$F$16,0))</f>
        <v/>
      </c>
      <c r="D6" s="61" t="str">
        <f>IF(D$5="","",IFERROR(INDEX(Properties!$F$6:$F$15,MATCH(D$5,Properties!$A$6:$A$15,0))/Properties!$F$16,0))</f>
        <v/>
      </c>
      <c r="E6" s="61" t="str">
        <f>IF(E$5="","",IFERROR(INDEX(Properties!$F$6:$F$15,MATCH(E$5,Properties!$A$6:$A$15,0))/Properties!$F$16,0))</f>
        <v/>
      </c>
      <c r="F6" s="61" t="str">
        <f>IF(F$5="","",IFERROR(INDEX(Properties!$F$6:$F$15,MATCH(F$5,Properties!$A$6:$A$15,0))/Properties!$F$16,0))</f>
        <v/>
      </c>
      <c r="G6" s="61" t="str">
        <f>IF(G$5="","",IFERROR(INDEX(Properties!$F$6:$F$15,MATCH(G$5,Properties!$A$6:$A$15,0))/Properties!$F$16,0))</f>
        <v/>
      </c>
      <c r="H6" s="61" t="str">
        <f>IF(H$5="","",IFERROR(INDEX(Properties!$F$6:$F$15,MATCH(H$5,Properties!$A$6:$A$15,0))/Properties!$F$16,0))</f>
        <v/>
      </c>
      <c r="I6" s="61" t="str">
        <f>IF(I$5="","",IFERROR(INDEX(Properties!$F$6:$F$15,MATCH(I$5,Properties!$A$6:$A$15,0))/Properties!$F$16,0))</f>
        <v/>
      </c>
      <c r="J6" s="61" t="str">
        <f>IF(J$5="","",IFERROR(INDEX(Properties!$F$6:$F$15,MATCH(J$5,Properties!$A$6:$A$15,0))/Properties!$F$16,0))</f>
        <v/>
      </c>
      <c r="K6" s="61" t="str">
        <f>IF(K$5="","",IFERROR(INDEX(Properties!$F$6:$F$15,MATCH(K$5,Properties!$A$6:$A$15,0))/Properties!$F$16,0))</f>
        <v/>
      </c>
      <c r="L6" s="61" t="str">
        <f>IF(L$5="","",IFERROR(INDEX(Properties!$F$6:$F$15,MATCH(L$5,Properties!$A$6:$A$15,0))/Properties!$F$16,0))</f>
        <v/>
      </c>
    </row>
    <row r="7" spans="1:13" ht="16" x14ac:dyDescent="0.2">
      <c r="A7" s="31" t="s">
        <v>200</v>
      </c>
      <c r="B7" s="62" t="s">
        <v>201</v>
      </c>
      <c r="C7" s="63" t="str">
        <f>IF(C$5="","",SUMIFS('Rent Log'!$G$7:$G$506,'Rent Log'!$C$7:$C$506,C$5,'Rent Log'!$N$7:$N$506,Settings!$C$5))</f>
        <v/>
      </c>
      <c r="D7" s="63" t="str">
        <f>IF(D$5="","",SUMIFS('Rent Log'!$G$7:$G$506,'Rent Log'!$C$7:$C$506,D$5,'Rent Log'!$N$7:$N$506,Settings!$C$5))</f>
        <v/>
      </c>
      <c r="E7" s="63" t="str">
        <f>IF(E$5="","",SUMIFS('Rent Log'!$G$7:$G$506,'Rent Log'!$C$7:$C$506,E$5,'Rent Log'!$N$7:$N$506,Settings!$C$5))</f>
        <v/>
      </c>
      <c r="F7" s="63" t="str">
        <f>IF(F$5="","",SUMIFS('Rent Log'!$G$7:$G$506,'Rent Log'!$C$7:$C$506,F$5,'Rent Log'!$N$7:$N$506,Settings!$C$5))</f>
        <v/>
      </c>
      <c r="G7" s="63" t="str">
        <f>IF(G$5="","",SUMIFS('Rent Log'!$G$7:$G$506,'Rent Log'!$C$7:$C$506,G$5,'Rent Log'!$N$7:$N$506,Settings!$C$5))</f>
        <v/>
      </c>
      <c r="H7" s="63" t="str">
        <f>IF(H$5="","",SUMIFS('Rent Log'!$G$7:$G$506,'Rent Log'!$C$7:$C$506,H$5,'Rent Log'!$N$7:$N$506,Settings!$C$5))</f>
        <v/>
      </c>
      <c r="I7" s="63" t="str">
        <f>IF(I$5="","",SUMIFS('Rent Log'!$G$7:$G$506,'Rent Log'!$C$7:$C$506,I$5,'Rent Log'!$N$7:$N$506,Settings!$C$5))</f>
        <v/>
      </c>
      <c r="J7" s="63" t="str">
        <f>IF(J$5="","",SUMIFS('Rent Log'!$G$7:$G$506,'Rent Log'!$C$7:$C$506,J$5,'Rent Log'!$N$7:$N$506,Settings!$C$5))</f>
        <v/>
      </c>
      <c r="K7" s="63" t="str">
        <f>IF(K$5="","",SUMIFS('Rent Log'!$G$7:$G$506,'Rent Log'!$C$7:$C$506,K$5,'Rent Log'!$N$7:$N$506,Settings!$C$5))</f>
        <v/>
      </c>
      <c r="L7" s="63" t="str">
        <f>IF(L$5="","",SUMIFS('Rent Log'!$G$7:$G$506,'Rent Log'!$C$7:$C$506,L$5,'Rent Log'!$N$7:$N$506,Settings!$C$5))</f>
        <v/>
      </c>
      <c r="M7" s="54">
        <f>SUM(C7:L7)</f>
        <v>0</v>
      </c>
    </row>
    <row r="8" spans="1:13" ht="16" x14ac:dyDescent="0.2">
      <c r="A8" s="64" t="s">
        <v>24</v>
      </c>
    </row>
    <row r="9" spans="1:13" ht="16" x14ac:dyDescent="0.2">
      <c r="A9" s="65" t="s">
        <v>202</v>
      </c>
      <c r="B9" s="66" t="s">
        <v>71</v>
      </c>
      <c r="C9" s="67" t="str">
        <f>IF(C$5="","",SUMIFS(Expenses!$E$7:$E$506,Expenses!$B$7:$B$506,C$5,Expenses!$C$7:$C$506,$B9,Expenses!$I$7:$I$506,Settings!$C$5)+SUMIFS(Expenses!$E$7:$E$506,Expenses!$B$7:$B$506,"All Properties (split)",Expenses!$C$7:$C$506,$B9,Expenses!$I$7:$I$506,Settings!$C$5)*C$6)</f>
        <v/>
      </c>
      <c r="D9" s="67" t="str">
        <f>IF(D$5="","",SUMIFS(Expenses!$E$7:$E$506,Expenses!$B$7:$B$506,D$5,Expenses!$C$7:$C$506,$B9,Expenses!$I$7:$I$506,Settings!$C$5)+SUMIFS(Expenses!$E$7:$E$506,Expenses!$B$7:$B$506,"All Properties (split)",Expenses!$C$7:$C$506,$B9,Expenses!$I$7:$I$506,Settings!$C$5)*D$6)</f>
        <v/>
      </c>
      <c r="E9" s="67" t="str">
        <f>IF(E$5="","",SUMIFS(Expenses!$E$7:$E$506,Expenses!$B$7:$B$506,E$5,Expenses!$C$7:$C$506,$B9,Expenses!$I$7:$I$506,Settings!$C$5)+SUMIFS(Expenses!$E$7:$E$506,Expenses!$B$7:$B$506,"All Properties (split)",Expenses!$C$7:$C$506,$B9,Expenses!$I$7:$I$506,Settings!$C$5)*E$6)</f>
        <v/>
      </c>
      <c r="F9" s="67" t="str">
        <f>IF(F$5="","",SUMIFS(Expenses!$E$7:$E$506,Expenses!$B$7:$B$506,F$5,Expenses!$C$7:$C$506,$B9,Expenses!$I$7:$I$506,Settings!$C$5)+SUMIFS(Expenses!$E$7:$E$506,Expenses!$B$7:$B$506,"All Properties (split)",Expenses!$C$7:$C$506,$B9,Expenses!$I$7:$I$506,Settings!$C$5)*F$6)</f>
        <v/>
      </c>
      <c r="G9" s="67" t="str">
        <f>IF(G$5="","",SUMIFS(Expenses!$E$7:$E$506,Expenses!$B$7:$B$506,G$5,Expenses!$C$7:$C$506,$B9,Expenses!$I$7:$I$506,Settings!$C$5)+SUMIFS(Expenses!$E$7:$E$506,Expenses!$B$7:$B$506,"All Properties (split)",Expenses!$C$7:$C$506,$B9,Expenses!$I$7:$I$506,Settings!$C$5)*G$6)</f>
        <v/>
      </c>
      <c r="H9" s="67" t="str">
        <f>IF(H$5="","",SUMIFS(Expenses!$E$7:$E$506,Expenses!$B$7:$B$506,H$5,Expenses!$C$7:$C$506,$B9,Expenses!$I$7:$I$506,Settings!$C$5)+SUMIFS(Expenses!$E$7:$E$506,Expenses!$B$7:$B$506,"All Properties (split)",Expenses!$C$7:$C$506,$B9,Expenses!$I$7:$I$506,Settings!$C$5)*H$6)</f>
        <v/>
      </c>
      <c r="I9" s="67" t="str">
        <f>IF(I$5="","",SUMIFS(Expenses!$E$7:$E$506,Expenses!$B$7:$B$506,I$5,Expenses!$C$7:$C$506,$B9,Expenses!$I$7:$I$506,Settings!$C$5)+SUMIFS(Expenses!$E$7:$E$506,Expenses!$B$7:$B$506,"All Properties (split)",Expenses!$C$7:$C$506,$B9,Expenses!$I$7:$I$506,Settings!$C$5)*I$6)</f>
        <v/>
      </c>
      <c r="J9" s="67" t="str">
        <f>IF(J$5="","",SUMIFS(Expenses!$E$7:$E$506,Expenses!$B$7:$B$506,J$5,Expenses!$C$7:$C$506,$B9,Expenses!$I$7:$I$506,Settings!$C$5)+SUMIFS(Expenses!$E$7:$E$506,Expenses!$B$7:$B$506,"All Properties (split)",Expenses!$C$7:$C$506,$B9,Expenses!$I$7:$I$506,Settings!$C$5)*J$6)</f>
        <v/>
      </c>
      <c r="K9" s="67" t="str">
        <f>IF(K$5="","",SUMIFS(Expenses!$E$7:$E$506,Expenses!$B$7:$B$506,K$5,Expenses!$C$7:$C$506,$B9,Expenses!$I$7:$I$506,Settings!$C$5)+SUMIFS(Expenses!$E$7:$E$506,Expenses!$B$7:$B$506,"All Properties (split)",Expenses!$C$7:$C$506,$B9,Expenses!$I$7:$I$506,Settings!$C$5)*K$6)</f>
        <v/>
      </c>
      <c r="L9" s="67" t="str">
        <f>IF(L$5="","",SUMIFS(Expenses!$E$7:$E$506,Expenses!$B$7:$B$506,L$5,Expenses!$C$7:$C$506,$B9,Expenses!$I$7:$I$506,Settings!$C$5)+SUMIFS(Expenses!$E$7:$E$506,Expenses!$B$7:$B$506,"All Properties (split)",Expenses!$C$7:$C$506,$B9,Expenses!$I$7:$I$506,Settings!$C$5)*L$6)</f>
        <v/>
      </c>
      <c r="M9" s="68">
        <f t="shared" ref="M9:M23" si="0">SUM(C9:L9)</f>
        <v>0</v>
      </c>
    </row>
    <row r="10" spans="1:13" ht="16" x14ac:dyDescent="0.2">
      <c r="A10" s="65" t="s">
        <v>203</v>
      </c>
      <c r="B10" s="66" t="s">
        <v>204</v>
      </c>
      <c r="C10" s="67" t="str">
        <f>IF(C$5="","",SUMIFS(Mileage!$F$7:$F$506,Mileage!$B$7:$B$506,C$5,Mileage!$G$7:$G$506,Settings!$C$5)+SUMIFS(Mileage!$F$7:$F$506,Mileage!$B$7:$B$506,"All Properties (split)",Mileage!$G$7:$G$506,Settings!$C$5)*C$6+SUMIFS(Expenses!$E$7:$E$506,Expenses!$B$7:$B$506,C$5,Expenses!$C$7:$C$506,"Auto and Travel",Expenses!$I$7:$I$506,Settings!$C$5)+SUMIFS(Expenses!$E$7:$E$506,Expenses!$B$7:$B$506,"All Properties (split)",Expenses!$C$7:$C$506,"Auto and Travel",Expenses!$I$7:$I$506,Settings!$C$5)*C$6)</f>
        <v/>
      </c>
      <c r="D10" s="67" t="str">
        <f>IF(D$5="","",SUMIFS(Mileage!$F$7:$F$506,Mileage!$B$7:$B$506,D$5,Mileage!$G$7:$G$506,Settings!$C$5)+SUMIFS(Mileage!$F$7:$F$506,Mileage!$B$7:$B$506,"All Properties (split)",Mileage!$G$7:$G$506,Settings!$C$5)*D$6+SUMIFS(Expenses!$E$7:$E$506,Expenses!$B$7:$B$506,D$5,Expenses!$C$7:$C$506,"Auto and Travel",Expenses!$I$7:$I$506,Settings!$C$5)+SUMIFS(Expenses!$E$7:$E$506,Expenses!$B$7:$B$506,"All Properties (split)",Expenses!$C$7:$C$506,"Auto and Travel",Expenses!$I$7:$I$506,Settings!$C$5)*D$6)</f>
        <v/>
      </c>
      <c r="E10" s="67" t="str">
        <f>IF(E$5="","",SUMIFS(Mileage!$F$7:$F$506,Mileage!$B$7:$B$506,E$5,Mileage!$G$7:$G$506,Settings!$C$5)+SUMIFS(Mileage!$F$7:$F$506,Mileage!$B$7:$B$506,"All Properties (split)",Mileage!$G$7:$G$506,Settings!$C$5)*E$6+SUMIFS(Expenses!$E$7:$E$506,Expenses!$B$7:$B$506,E$5,Expenses!$C$7:$C$506,"Auto and Travel",Expenses!$I$7:$I$506,Settings!$C$5)+SUMIFS(Expenses!$E$7:$E$506,Expenses!$B$7:$B$506,"All Properties (split)",Expenses!$C$7:$C$506,"Auto and Travel",Expenses!$I$7:$I$506,Settings!$C$5)*E$6)</f>
        <v/>
      </c>
      <c r="F10" s="67" t="str">
        <f>IF(F$5="","",SUMIFS(Mileage!$F$7:$F$506,Mileage!$B$7:$B$506,F$5,Mileage!$G$7:$G$506,Settings!$C$5)+SUMIFS(Mileage!$F$7:$F$506,Mileage!$B$7:$B$506,"All Properties (split)",Mileage!$G$7:$G$506,Settings!$C$5)*F$6+SUMIFS(Expenses!$E$7:$E$506,Expenses!$B$7:$B$506,F$5,Expenses!$C$7:$C$506,"Auto and Travel",Expenses!$I$7:$I$506,Settings!$C$5)+SUMIFS(Expenses!$E$7:$E$506,Expenses!$B$7:$B$506,"All Properties (split)",Expenses!$C$7:$C$506,"Auto and Travel",Expenses!$I$7:$I$506,Settings!$C$5)*F$6)</f>
        <v/>
      </c>
      <c r="G10" s="67" t="str">
        <f>IF(G$5="","",SUMIFS(Mileage!$F$7:$F$506,Mileage!$B$7:$B$506,G$5,Mileage!$G$7:$G$506,Settings!$C$5)+SUMIFS(Mileage!$F$7:$F$506,Mileage!$B$7:$B$506,"All Properties (split)",Mileage!$G$7:$G$506,Settings!$C$5)*G$6+SUMIFS(Expenses!$E$7:$E$506,Expenses!$B$7:$B$506,G$5,Expenses!$C$7:$C$506,"Auto and Travel",Expenses!$I$7:$I$506,Settings!$C$5)+SUMIFS(Expenses!$E$7:$E$506,Expenses!$B$7:$B$506,"All Properties (split)",Expenses!$C$7:$C$506,"Auto and Travel",Expenses!$I$7:$I$506,Settings!$C$5)*G$6)</f>
        <v/>
      </c>
      <c r="H10" s="67" t="str">
        <f>IF(H$5="","",SUMIFS(Mileage!$F$7:$F$506,Mileage!$B$7:$B$506,H$5,Mileage!$G$7:$G$506,Settings!$C$5)+SUMIFS(Mileage!$F$7:$F$506,Mileage!$B$7:$B$506,"All Properties (split)",Mileage!$G$7:$G$506,Settings!$C$5)*H$6+SUMIFS(Expenses!$E$7:$E$506,Expenses!$B$7:$B$506,H$5,Expenses!$C$7:$C$506,"Auto and Travel",Expenses!$I$7:$I$506,Settings!$C$5)+SUMIFS(Expenses!$E$7:$E$506,Expenses!$B$7:$B$506,"All Properties (split)",Expenses!$C$7:$C$506,"Auto and Travel",Expenses!$I$7:$I$506,Settings!$C$5)*H$6)</f>
        <v/>
      </c>
      <c r="I10" s="67" t="str">
        <f>IF(I$5="","",SUMIFS(Mileage!$F$7:$F$506,Mileage!$B$7:$B$506,I$5,Mileage!$G$7:$G$506,Settings!$C$5)+SUMIFS(Mileage!$F$7:$F$506,Mileage!$B$7:$B$506,"All Properties (split)",Mileage!$G$7:$G$506,Settings!$C$5)*I$6+SUMIFS(Expenses!$E$7:$E$506,Expenses!$B$7:$B$506,I$5,Expenses!$C$7:$C$506,"Auto and Travel",Expenses!$I$7:$I$506,Settings!$C$5)+SUMIFS(Expenses!$E$7:$E$506,Expenses!$B$7:$B$506,"All Properties (split)",Expenses!$C$7:$C$506,"Auto and Travel",Expenses!$I$7:$I$506,Settings!$C$5)*I$6)</f>
        <v/>
      </c>
      <c r="J10" s="67" t="str">
        <f>IF(J$5="","",SUMIFS(Mileage!$F$7:$F$506,Mileage!$B$7:$B$506,J$5,Mileage!$G$7:$G$506,Settings!$C$5)+SUMIFS(Mileage!$F$7:$F$506,Mileage!$B$7:$B$506,"All Properties (split)",Mileage!$G$7:$G$506,Settings!$C$5)*J$6+SUMIFS(Expenses!$E$7:$E$506,Expenses!$B$7:$B$506,J$5,Expenses!$C$7:$C$506,"Auto and Travel",Expenses!$I$7:$I$506,Settings!$C$5)+SUMIFS(Expenses!$E$7:$E$506,Expenses!$B$7:$B$506,"All Properties (split)",Expenses!$C$7:$C$506,"Auto and Travel",Expenses!$I$7:$I$506,Settings!$C$5)*J$6)</f>
        <v/>
      </c>
      <c r="K10" s="67" t="str">
        <f>IF(K$5="","",SUMIFS(Mileage!$F$7:$F$506,Mileage!$B$7:$B$506,K$5,Mileage!$G$7:$G$506,Settings!$C$5)+SUMIFS(Mileage!$F$7:$F$506,Mileage!$B$7:$B$506,"All Properties (split)",Mileage!$G$7:$G$506,Settings!$C$5)*K$6+SUMIFS(Expenses!$E$7:$E$506,Expenses!$B$7:$B$506,K$5,Expenses!$C$7:$C$506,"Auto and Travel",Expenses!$I$7:$I$506,Settings!$C$5)+SUMIFS(Expenses!$E$7:$E$506,Expenses!$B$7:$B$506,"All Properties (split)",Expenses!$C$7:$C$506,"Auto and Travel",Expenses!$I$7:$I$506,Settings!$C$5)*K$6)</f>
        <v/>
      </c>
      <c r="L10" s="67" t="str">
        <f>IF(L$5="","",SUMIFS(Mileage!$F$7:$F$506,Mileage!$B$7:$B$506,L$5,Mileage!$G$7:$G$506,Settings!$C$5)+SUMIFS(Mileage!$F$7:$F$506,Mileage!$B$7:$B$506,"All Properties (split)",Mileage!$G$7:$G$506,Settings!$C$5)*L$6+SUMIFS(Expenses!$E$7:$E$506,Expenses!$B$7:$B$506,L$5,Expenses!$C$7:$C$506,"Auto and Travel",Expenses!$I$7:$I$506,Settings!$C$5)+SUMIFS(Expenses!$E$7:$E$506,Expenses!$B$7:$B$506,"All Properties (split)",Expenses!$C$7:$C$506,"Auto and Travel",Expenses!$I$7:$I$506,Settings!$C$5)*L$6)</f>
        <v/>
      </c>
      <c r="M10" s="68">
        <f t="shared" si="0"/>
        <v>0</v>
      </c>
    </row>
    <row r="11" spans="1:13" ht="16" x14ac:dyDescent="0.2">
      <c r="A11" s="65" t="s">
        <v>205</v>
      </c>
      <c r="B11" s="66" t="s">
        <v>75</v>
      </c>
      <c r="C11" s="67" t="str">
        <f>IF(C$5="","",SUMIFS(Expenses!$E$7:$E$506,Expenses!$B$7:$B$506,C$5,Expenses!$C$7:$C$506,$B11,Expenses!$I$7:$I$506,Settings!$C$5)+SUMIFS(Expenses!$E$7:$E$506,Expenses!$B$7:$B$506,"All Properties (split)",Expenses!$C$7:$C$506,$B11,Expenses!$I$7:$I$506,Settings!$C$5)*C$6)</f>
        <v/>
      </c>
      <c r="D11" s="67" t="str">
        <f>IF(D$5="","",SUMIFS(Expenses!$E$7:$E$506,Expenses!$B$7:$B$506,D$5,Expenses!$C$7:$C$506,$B11,Expenses!$I$7:$I$506,Settings!$C$5)+SUMIFS(Expenses!$E$7:$E$506,Expenses!$B$7:$B$506,"All Properties (split)",Expenses!$C$7:$C$506,$B11,Expenses!$I$7:$I$506,Settings!$C$5)*D$6)</f>
        <v/>
      </c>
      <c r="E11" s="67" t="str">
        <f>IF(E$5="","",SUMIFS(Expenses!$E$7:$E$506,Expenses!$B$7:$B$506,E$5,Expenses!$C$7:$C$506,$B11,Expenses!$I$7:$I$506,Settings!$C$5)+SUMIFS(Expenses!$E$7:$E$506,Expenses!$B$7:$B$506,"All Properties (split)",Expenses!$C$7:$C$506,$B11,Expenses!$I$7:$I$506,Settings!$C$5)*E$6)</f>
        <v/>
      </c>
      <c r="F11" s="67" t="str">
        <f>IF(F$5="","",SUMIFS(Expenses!$E$7:$E$506,Expenses!$B$7:$B$506,F$5,Expenses!$C$7:$C$506,$B11,Expenses!$I$7:$I$506,Settings!$C$5)+SUMIFS(Expenses!$E$7:$E$506,Expenses!$B$7:$B$506,"All Properties (split)",Expenses!$C$7:$C$506,$B11,Expenses!$I$7:$I$506,Settings!$C$5)*F$6)</f>
        <v/>
      </c>
      <c r="G11" s="67" t="str">
        <f>IF(G$5="","",SUMIFS(Expenses!$E$7:$E$506,Expenses!$B$7:$B$506,G$5,Expenses!$C$7:$C$506,$B11,Expenses!$I$7:$I$506,Settings!$C$5)+SUMIFS(Expenses!$E$7:$E$506,Expenses!$B$7:$B$506,"All Properties (split)",Expenses!$C$7:$C$506,$B11,Expenses!$I$7:$I$506,Settings!$C$5)*G$6)</f>
        <v/>
      </c>
      <c r="H11" s="67" t="str">
        <f>IF(H$5="","",SUMIFS(Expenses!$E$7:$E$506,Expenses!$B$7:$B$506,H$5,Expenses!$C$7:$C$506,$B11,Expenses!$I$7:$I$506,Settings!$C$5)+SUMIFS(Expenses!$E$7:$E$506,Expenses!$B$7:$B$506,"All Properties (split)",Expenses!$C$7:$C$506,$B11,Expenses!$I$7:$I$506,Settings!$C$5)*H$6)</f>
        <v/>
      </c>
      <c r="I11" s="67" t="str">
        <f>IF(I$5="","",SUMIFS(Expenses!$E$7:$E$506,Expenses!$B$7:$B$506,I$5,Expenses!$C$7:$C$506,$B11,Expenses!$I$7:$I$506,Settings!$C$5)+SUMIFS(Expenses!$E$7:$E$506,Expenses!$B$7:$B$506,"All Properties (split)",Expenses!$C$7:$C$506,$B11,Expenses!$I$7:$I$506,Settings!$C$5)*I$6)</f>
        <v/>
      </c>
      <c r="J11" s="67" t="str">
        <f>IF(J$5="","",SUMIFS(Expenses!$E$7:$E$506,Expenses!$B$7:$B$506,J$5,Expenses!$C$7:$C$506,$B11,Expenses!$I$7:$I$506,Settings!$C$5)+SUMIFS(Expenses!$E$7:$E$506,Expenses!$B$7:$B$506,"All Properties (split)",Expenses!$C$7:$C$506,$B11,Expenses!$I$7:$I$506,Settings!$C$5)*J$6)</f>
        <v/>
      </c>
      <c r="K11" s="67" t="str">
        <f>IF(K$5="","",SUMIFS(Expenses!$E$7:$E$506,Expenses!$B$7:$B$506,K$5,Expenses!$C$7:$C$506,$B11,Expenses!$I$7:$I$506,Settings!$C$5)+SUMIFS(Expenses!$E$7:$E$506,Expenses!$B$7:$B$506,"All Properties (split)",Expenses!$C$7:$C$506,$B11,Expenses!$I$7:$I$506,Settings!$C$5)*K$6)</f>
        <v/>
      </c>
      <c r="L11" s="67" t="str">
        <f>IF(L$5="","",SUMIFS(Expenses!$E$7:$E$506,Expenses!$B$7:$B$506,L$5,Expenses!$C$7:$C$506,$B11,Expenses!$I$7:$I$506,Settings!$C$5)+SUMIFS(Expenses!$E$7:$E$506,Expenses!$B$7:$B$506,"All Properties (split)",Expenses!$C$7:$C$506,$B11,Expenses!$I$7:$I$506,Settings!$C$5)*L$6)</f>
        <v/>
      </c>
      <c r="M11" s="68">
        <f t="shared" si="0"/>
        <v>0</v>
      </c>
    </row>
    <row r="12" spans="1:13" ht="16" x14ac:dyDescent="0.2">
      <c r="A12" s="65" t="s">
        <v>206</v>
      </c>
      <c r="B12" s="66" t="s">
        <v>77</v>
      </c>
      <c r="C12" s="67" t="str">
        <f>IF(C$5="","",SUMIFS(Expenses!$E$7:$E$506,Expenses!$B$7:$B$506,C$5,Expenses!$C$7:$C$506,$B12,Expenses!$I$7:$I$506,Settings!$C$5)+SUMIFS(Expenses!$E$7:$E$506,Expenses!$B$7:$B$506,"All Properties (split)",Expenses!$C$7:$C$506,$B12,Expenses!$I$7:$I$506,Settings!$C$5)*C$6)</f>
        <v/>
      </c>
      <c r="D12" s="67" t="str">
        <f>IF(D$5="","",SUMIFS(Expenses!$E$7:$E$506,Expenses!$B$7:$B$506,D$5,Expenses!$C$7:$C$506,$B12,Expenses!$I$7:$I$506,Settings!$C$5)+SUMIFS(Expenses!$E$7:$E$506,Expenses!$B$7:$B$506,"All Properties (split)",Expenses!$C$7:$C$506,$B12,Expenses!$I$7:$I$506,Settings!$C$5)*D$6)</f>
        <v/>
      </c>
      <c r="E12" s="67" t="str">
        <f>IF(E$5="","",SUMIFS(Expenses!$E$7:$E$506,Expenses!$B$7:$B$506,E$5,Expenses!$C$7:$C$506,$B12,Expenses!$I$7:$I$506,Settings!$C$5)+SUMIFS(Expenses!$E$7:$E$506,Expenses!$B$7:$B$506,"All Properties (split)",Expenses!$C$7:$C$506,$B12,Expenses!$I$7:$I$506,Settings!$C$5)*E$6)</f>
        <v/>
      </c>
      <c r="F12" s="67" t="str">
        <f>IF(F$5="","",SUMIFS(Expenses!$E$7:$E$506,Expenses!$B$7:$B$506,F$5,Expenses!$C$7:$C$506,$B12,Expenses!$I$7:$I$506,Settings!$C$5)+SUMIFS(Expenses!$E$7:$E$506,Expenses!$B$7:$B$506,"All Properties (split)",Expenses!$C$7:$C$506,$B12,Expenses!$I$7:$I$506,Settings!$C$5)*F$6)</f>
        <v/>
      </c>
      <c r="G12" s="67" t="str">
        <f>IF(G$5="","",SUMIFS(Expenses!$E$7:$E$506,Expenses!$B$7:$B$506,G$5,Expenses!$C$7:$C$506,$B12,Expenses!$I$7:$I$506,Settings!$C$5)+SUMIFS(Expenses!$E$7:$E$506,Expenses!$B$7:$B$506,"All Properties (split)",Expenses!$C$7:$C$506,$B12,Expenses!$I$7:$I$506,Settings!$C$5)*G$6)</f>
        <v/>
      </c>
      <c r="H12" s="67" t="str">
        <f>IF(H$5="","",SUMIFS(Expenses!$E$7:$E$506,Expenses!$B$7:$B$506,H$5,Expenses!$C$7:$C$506,$B12,Expenses!$I$7:$I$506,Settings!$C$5)+SUMIFS(Expenses!$E$7:$E$506,Expenses!$B$7:$B$506,"All Properties (split)",Expenses!$C$7:$C$506,$B12,Expenses!$I$7:$I$506,Settings!$C$5)*H$6)</f>
        <v/>
      </c>
      <c r="I12" s="67" t="str">
        <f>IF(I$5="","",SUMIFS(Expenses!$E$7:$E$506,Expenses!$B$7:$B$506,I$5,Expenses!$C$7:$C$506,$B12,Expenses!$I$7:$I$506,Settings!$C$5)+SUMIFS(Expenses!$E$7:$E$506,Expenses!$B$7:$B$506,"All Properties (split)",Expenses!$C$7:$C$506,$B12,Expenses!$I$7:$I$506,Settings!$C$5)*I$6)</f>
        <v/>
      </c>
      <c r="J12" s="67" t="str">
        <f>IF(J$5="","",SUMIFS(Expenses!$E$7:$E$506,Expenses!$B$7:$B$506,J$5,Expenses!$C$7:$C$506,$B12,Expenses!$I$7:$I$506,Settings!$C$5)+SUMIFS(Expenses!$E$7:$E$506,Expenses!$B$7:$B$506,"All Properties (split)",Expenses!$C$7:$C$506,$B12,Expenses!$I$7:$I$506,Settings!$C$5)*J$6)</f>
        <v/>
      </c>
      <c r="K12" s="67" t="str">
        <f>IF(K$5="","",SUMIFS(Expenses!$E$7:$E$506,Expenses!$B$7:$B$506,K$5,Expenses!$C$7:$C$506,$B12,Expenses!$I$7:$I$506,Settings!$C$5)+SUMIFS(Expenses!$E$7:$E$506,Expenses!$B$7:$B$506,"All Properties (split)",Expenses!$C$7:$C$506,$B12,Expenses!$I$7:$I$506,Settings!$C$5)*K$6)</f>
        <v/>
      </c>
      <c r="L12" s="67" t="str">
        <f>IF(L$5="","",SUMIFS(Expenses!$E$7:$E$506,Expenses!$B$7:$B$506,L$5,Expenses!$C$7:$C$506,$B12,Expenses!$I$7:$I$506,Settings!$C$5)+SUMIFS(Expenses!$E$7:$E$506,Expenses!$B$7:$B$506,"All Properties (split)",Expenses!$C$7:$C$506,$B12,Expenses!$I$7:$I$506,Settings!$C$5)*L$6)</f>
        <v/>
      </c>
      <c r="M12" s="68">
        <f t="shared" si="0"/>
        <v>0</v>
      </c>
    </row>
    <row r="13" spans="1:13" ht="16" x14ac:dyDescent="0.2">
      <c r="A13" s="65" t="s">
        <v>207</v>
      </c>
      <c r="B13" s="66" t="s">
        <v>79</v>
      </c>
      <c r="C13" s="67" t="str">
        <f>IF(C$5="","",SUMIFS(Expenses!$E$7:$E$506,Expenses!$B$7:$B$506,C$5,Expenses!$C$7:$C$506,$B13,Expenses!$I$7:$I$506,Settings!$C$5)+SUMIFS(Expenses!$E$7:$E$506,Expenses!$B$7:$B$506,"All Properties (split)",Expenses!$C$7:$C$506,$B13,Expenses!$I$7:$I$506,Settings!$C$5)*C$6)</f>
        <v/>
      </c>
      <c r="D13" s="67" t="str">
        <f>IF(D$5="","",SUMIFS(Expenses!$E$7:$E$506,Expenses!$B$7:$B$506,D$5,Expenses!$C$7:$C$506,$B13,Expenses!$I$7:$I$506,Settings!$C$5)+SUMIFS(Expenses!$E$7:$E$506,Expenses!$B$7:$B$506,"All Properties (split)",Expenses!$C$7:$C$506,$B13,Expenses!$I$7:$I$506,Settings!$C$5)*D$6)</f>
        <v/>
      </c>
      <c r="E13" s="67" t="str">
        <f>IF(E$5="","",SUMIFS(Expenses!$E$7:$E$506,Expenses!$B$7:$B$506,E$5,Expenses!$C$7:$C$506,$B13,Expenses!$I$7:$I$506,Settings!$C$5)+SUMIFS(Expenses!$E$7:$E$506,Expenses!$B$7:$B$506,"All Properties (split)",Expenses!$C$7:$C$506,$B13,Expenses!$I$7:$I$506,Settings!$C$5)*E$6)</f>
        <v/>
      </c>
      <c r="F13" s="67" t="str">
        <f>IF(F$5="","",SUMIFS(Expenses!$E$7:$E$506,Expenses!$B$7:$B$506,F$5,Expenses!$C$7:$C$506,$B13,Expenses!$I$7:$I$506,Settings!$C$5)+SUMIFS(Expenses!$E$7:$E$506,Expenses!$B$7:$B$506,"All Properties (split)",Expenses!$C$7:$C$506,$B13,Expenses!$I$7:$I$506,Settings!$C$5)*F$6)</f>
        <v/>
      </c>
      <c r="G13" s="67" t="str">
        <f>IF(G$5="","",SUMIFS(Expenses!$E$7:$E$506,Expenses!$B$7:$B$506,G$5,Expenses!$C$7:$C$506,$B13,Expenses!$I$7:$I$506,Settings!$C$5)+SUMIFS(Expenses!$E$7:$E$506,Expenses!$B$7:$B$506,"All Properties (split)",Expenses!$C$7:$C$506,$B13,Expenses!$I$7:$I$506,Settings!$C$5)*G$6)</f>
        <v/>
      </c>
      <c r="H13" s="67" t="str">
        <f>IF(H$5="","",SUMIFS(Expenses!$E$7:$E$506,Expenses!$B$7:$B$506,H$5,Expenses!$C$7:$C$506,$B13,Expenses!$I$7:$I$506,Settings!$C$5)+SUMIFS(Expenses!$E$7:$E$506,Expenses!$B$7:$B$506,"All Properties (split)",Expenses!$C$7:$C$506,$B13,Expenses!$I$7:$I$506,Settings!$C$5)*H$6)</f>
        <v/>
      </c>
      <c r="I13" s="67" t="str">
        <f>IF(I$5="","",SUMIFS(Expenses!$E$7:$E$506,Expenses!$B$7:$B$506,I$5,Expenses!$C$7:$C$506,$B13,Expenses!$I$7:$I$506,Settings!$C$5)+SUMIFS(Expenses!$E$7:$E$506,Expenses!$B$7:$B$506,"All Properties (split)",Expenses!$C$7:$C$506,$B13,Expenses!$I$7:$I$506,Settings!$C$5)*I$6)</f>
        <v/>
      </c>
      <c r="J13" s="67" t="str">
        <f>IF(J$5="","",SUMIFS(Expenses!$E$7:$E$506,Expenses!$B$7:$B$506,J$5,Expenses!$C$7:$C$506,$B13,Expenses!$I$7:$I$506,Settings!$C$5)+SUMIFS(Expenses!$E$7:$E$506,Expenses!$B$7:$B$506,"All Properties (split)",Expenses!$C$7:$C$506,$B13,Expenses!$I$7:$I$506,Settings!$C$5)*J$6)</f>
        <v/>
      </c>
      <c r="K13" s="67" t="str">
        <f>IF(K$5="","",SUMIFS(Expenses!$E$7:$E$506,Expenses!$B$7:$B$506,K$5,Expenses!$C$7:$C$506,$B13,Expenses!$I$7:$I$506,Settings!$C$5)+SUMIFS(Expenses!$E$7:$E$506,Expenses!$B$7:$B$506,"All Properties (split)",Expenses!$C$7:$C$506,$B13,Expenses!$I$7:$I$506,Settings!$C$5)*K$6)</f>
        <v/>
      </c>
      <c r="L13" s="67" t="str">
        <f>IF(L$5="","",SUMIFS(Expenses!$E$7:$E$506,Expenses!$B$7:$B$506,L$5,Expenses!$C$7:$C$506,$B13,Expenses!$I$7:$I$506,Settings!$C$5)+SUMIFS(Expenses!$E$7:$E$506,Expenses!$B$7:$B$506,"All Properties (split)",Expenses!$C$7:$C$506,$B13,Expenses!$I$7:$I$506,Settings!$C$5)*L$6)</f>
        <v/>
      </c>
      <c r="M13" s="68">
        <f t="shared" si="0"/>
        <v>0</v>
      </c>
    </row>
    <row r="14" spans="1:13" ht="16" x14ac:dyDescent="0.2">
      <c r="A14" s="65" t="s">
        <v>208</v>
      </c>
      <c r="B14" s="66" t="s">
        <v>81</v>
      </c>
      <c r="C14" s="67" t="str">
        <f>IF(C$5="","",SUMIFS(Expenses!$E$7:$E$506,Expenses!$B$7:$B$506,C$5,Expenses!$C$7:$C$506,$B14,Expenses!$I$7:$I$506,Settings!$C$5)+SUMIFS(Expenses!$E$7:$E$506,Expenses!$B$7:$B$506,"All Properties (split)",Expenses!$C$7:$C$506,$B14,Expenses!$I$7:$I$506,Settings!$C$5)*C$6)</f>
        <v/>
      </c>
      <c r="D14" s="67" t="str">
        <f>IF(D$5="","",SUMIFS(Expenses!$E$7:$E$506,Expenses!$B$7:$B$506,D$5,Expenses!$C$7:$C$506,$B14,Expenses!$I$7:$I$506,Settings!$C$5)+SUMIFS(Expenses!$E$7:$E$506,Expenses!$B$7:$B$506,"All Properties (split)",Expenses!$C$7:$C$506,$B14,Expenses!$I$7:$I$506,Settings!$C$5)*D$6)</f>
        <v/>
      </c>
      <c r="E14" s="67" t="str">
        <f>IF(E$5="","",SUMIFS(Expenses!$E$7:$E$506,Expenses!$B$7:$B$506,E$5,Expenses!$C$7:$C$506,$B14,Expenses!$I$7:$I$506,Settings!$C$5)+SUMIFS(Expenses!$E$7:$E$506,Expenses!$B$7:$B$506,"All Properties (split)",Expenses!$C$7:$C$506,$B14,Expenses!$I$7:$I$506,Settings!$C$5)*E$6)</f>
        <v/>
      </c>
      <c r="F14" s="67" t="str">
        <f>IF(F$5="","",SUMIFS(Expenses!$E$7:$E$506,Expenses!$B$7:$B$506,F$5,Expenses!$C$7:$C$506,$B14,Expenses!$I$7:$I$506,Settings!$C$5)+SUMIFS(Expenses!$E$7:$E$506,Expenses!$B$7:$B$506,"All Properties (split)",Expenses!$C$7:$C$506,$B14,Expenses!$I$7:$I$506,Settings!$C$5)*F$6)</f>
        <v/>
      </c>
      <c r="G14" s="67" t="str">
        <f>IF(G$5="","",SUMIFS(Expenses!$E$7:$E$506,Expenses!$B$7:$B$506,G$5,Expenses!$C$7:$C$506,$B14,Expenses!$I$7:$I$506,Settings!$C$5)+SUMIFS(Expenses!$E$7:$E$506,Expenses!$B$7:$B$506,"All Properties (split)",Expenses!$C$7:$C$506,$B14,Expenses!$I$7:$I$506,Settings!$C$5)*G$6)</f>
        <v/>
      </c>
      <c r="H14" s="67" t="str">
        <f>IF(H$5="","",SUMIFS(Expenses!$E$7:$E$506,Expenses!$B$7:$B$506,H$5,Expenses!$C$7:$C$506,$B14,Expenses!$I$7:$I$506,Settings!$C$5)+SUMIFS(Expenses!$E$7:$E$506,Expenses!$B$7:$B$506,"All Properties (split)",Expenses!$C$7:$C$506,$B14,Expenses!$I$7:$I$506,Settings!$C$5)*H$6)</f>
        <v/>
      </c>
      <c r="I14" s="67" t="str">
        <f>IF(I$5="","",SUMIFS(Expenses!$E$7:$E$506,Expenses!$B$7:$B$506,I$5,Expenses!$C$7:$C$506,$B14,Expenses!$I$7:$I$506,Settings!$C$5)+SUMIFS(Expenses!$E$7:$E$506,Expenses!$B$7:$B$506,"All Properties (split)",Expenses!$C$7:$C$506,$B14,Expenses!$I$7:$I$506,Settings!$C$5)*I$6)</f>
        <v/>
      </c>
      <c r="J14" s="67" t="str">
        <f>IF(J$5="","",SUMIFS(Expenses!$E$7:$E$506,Expenses!$B$7:$B$506,J$5,Expenses!$C$7:$C$506,$B14,Expenses!$I$7:$I$506,Settings!$C$5)+SUMIFS(Expenses!$E$7:$E$506,Expenses!$B$7:$B$506,"All Properties (split)",Expenses!$C$7:$C$506,$B14,Expenses!$I$7:$I$506,Settings!$C$5)*J$6)</f>
        <v/>
      </c>
      <c r="K14" s="67" t="str">
        <f>IF(K$5="","",SUMIFS(Expenses!$E$7:$E$506,Expenses!$B$7:$B$506,K$5,Expenses!$C$7:$C$506,$B14,Expenses!$I$7:$I$506,Settings!$C$5)+SUMIFS(Expenses!$E$7:$E$506,Expenses!$B$7:$B$506,"All Properties (split)",Expenses!$C$7:$C$506,$B14,Expenses!$I$7:$I$506,Settings!$C$5)*K$6)</f>
        <v/>
      </c>
      <c r="L14" s="67" t="str">
        <f>IF(L$5="","",SUMIFS(Expenses!$E$7:$E$506,Expenses!$B$7:$B$506,L$5,Expenses!$C$7:$C$506,$B14,Expenses!$I$7:$I$506,Settings!$C$5)+SUMIFS(Expenses!$E$7:$E$506,Expenses!$B$7:$B$506,"All Properties (split)",Expenses!$C$7:$C$506,$B14,Expenses!$I$7:$I$506,Settings!$C$5)*L$6)</f>
        <v/>
      </c>
      <c r="M14" s="68">
        <f t="shared" si="0"/>
        <v>0</v>
      </c>
    </row>
    <row r="15" spans="1:13" ht="16" x14ac:dyDescent="0.2">
      <c r="A15" s="65" t="s">
        <v>209</v>
      </c>
      <c r="B15" s="66" t="s">
        <v>83</v>
      </c>
      <c r="C15" s="67" t="str">
        <f>IF(C$5="","",SUMIFS(Expenses!$E$7:$E$506,Expenses!$B$7:$B$506,C$5,Expenses!$C$7:$C$506,$B15,Expenses!$I$7:$I$506,Settings!$C$5)+SUMIFS(Expenses!$E$7:$E$506,Expenses!$B$7:$B$506,"All Properties (split)",Expenses!$C$7:$C$506,$B15,Expenses!$I$7:$I$506,Settings!$C$5)*C$6)</f>
        <v/>
      </c>
      <c r="D15" s="67" t="str">
        <f>IF(D$5="","",SUMIFS(Expenses!$E$7:$E$506,Expenses!$B$7:$B$506,D$5,Expenses!$C$7:$C$506,$B15,Expenses!$I$7:$I$506,Settings!$C$5)+SUMIFS(Expenses!$E$7:$E$506,Expenses!$B$7:$B$506,"All Properties (split)",Expenses!$C$7:$C$506,$B15,Expenses!$I$7:$I$506,Settings!$C$5)*D$6)</f>
        <v/>
      </c>
      <c r="E15" s="67" t="str">
        <f>IF(E$5="","",SUMIFS(Expenses!$E$7:$E$506,Expenses!$B$7:$B$506,E$5,Expenses!$C$7:$C$506,$B15,Expenses!$I$7:$I$506,Settings!$C$5)+SUMIFS(Expenses!$E$7:$E$506,Expenses!$B$7:$B$506,"All Properties (split)",Expenses!$C$7:$C$506,$B15,Expenses!$I$7:$I$506,Settings!$C$5)*E$6)</f>
        <v/>
      </c>
      <c r="F15" s="67" t="str">
        <f>IF(F$5="","",SUMIFS(Expenses!$E$7:$E$506,Expenses!$B$7:$B$506,F$5,Expenses!$C$7:$C$506,$B15,Expenses!$I$7:$I$506,Settings!$C$5)+SUMIFS(Expenses!$E$7:$E$506,Expenses!$B$7:$B$506,"All Properties (split)",Expenses!$C$7:$C$506,$B15,Expenses!$I$7:$I$506,Settings!$C$5)*F$6)</f>
        <v/>
      </c>
      <c r="G15" s="67" t="str">
        <f>IF(G$5="","",SUMIFS(Expenses!$E$7:$E$506,Expenses!$B$7:$B$506,G$5,Expenses!$C$7:$C$506,$B15,Expenses!$I$7:$I$506,Settings!$C$5)+SUMIFS(Expenses!$E$7:$E$506,Expenses!$B$7:$B$506,"All Properties (split)",Expenses!$C$7:$C$506,$B15,Expenses!$I$7:$I$506,Settings!$C$5)*G$6)</f>
        <v/>
      </c>
      <c r="H15" s="67" t="str">
        <f>IF(H$5="","",SUMIFS(Expenses!$E$7:$E$506,Expenses!$B$7:$B$506,H$5,Expenses!$C$7:$C$506,$B15,Expenses!$I$7:$I$506,Settings!$C$5)+SUMIFS(Expenses!$E$7:$E$506,Expenses!$B$7:$B$506,"All Properties (split)",Expenses!$C$7:$C$506,$B15,Expenses!$I$7:$I$506,Settings!$C$5)*H$6)</f>
        <v/>
      </c>
      <c r="I15" s="67" t="str">
        <f>IF(I$5="","",SUMIFS(Expenses!$E$7:$E$506,Expenses!$B$7:$B$506,I$5,Expenses!$C$7:$C$506,$B15,Expenses!$I$7:$I$506,Settings!$C$5)+SUMIFS(Expenses!$E$7:$E$506,Expenses!$B$7:$B$506,"All Properties (split)",Expenses!$C$7:$C$506,$B15,Expenses!$I$7:$I$506,Settings!$C$5)*I$6)</f>
        <v/>
      </c>
      <c r="J15" s="67" t="str">
        <f>IF(J$5="","",SUMIFS(Expenses!$E$7:$E$506,Expenses!$B$7:$B$506,J$5,Expenses!$C$7:$C$506,$B15,Expenses!$I$7:$I$506,Settings!$C$5)+SUMIFS(Expenses!$E$7:$E$506,Expenses!$B$7:$B$506,"All Properties (split)",Expenses!$C$7:$C$506,$B15,Expenses!$I$7:$I$506,Settings!$C$5)*J$6)</f>
        <v/>
      </c>
      <c r="K15" s="67" t="str">
        <f>IF(K$5="","",SUMIFS(Expenses!$E$7:$E$506,Expenses!$B$7:$B$506,K$5,Expenses!$C$7:$C$506,$B15,Expenses!$I$7:$I$506,Settings!$C$5)+SUMIFS(Expenses!$E$7:$E$506,Expenses!$B$7:$B$506,"All Properties (split)",Expenses!$C$7:$C$506,$B15,Expenses!$I$7:$I$506,Settings!$C$5)*K$6)</f>
        <v/>
      </c>
      <c r="L15" s="67" t="str">
        <f>IF(L$5="","",SUMIFS(Expenses!$E$7:$E$506,Expenses!$B$7:$B$506,L$5,Expenses!$C$7:$C$506,$B15,Expenses!$I$7:$I$506,Settings!$C$5)+SUMIFS(Expenses!$E$7:$E$506,Expenses!$B$7:$B$506,"All Properties (split)",Expenses!$C$7:$C$506,$B15,Expenses!$I$7:$I$506,Settings!$C$5)*L$6)</f>
        <v/>
      </c>
      <c r="M15" s="68">
        <f t="shared" si="0"/>
        <v>0</v>
      </c>
    </row>
    <row r="16" spans="1:13" ht="16" x14ac:dyDescent="0.2">
      <c r="A16" s="65" t="s">
        <v>210</v>
      </c>
      <c r="B16" s="66" t="s">
        <v>85</v>
      </c>
      <c r="C16" s="67" t="str">
        <f>IF(C$5="","",SUMIFS(Expenses!$E$7:$E$506,Expenses!$B$7:$B$506,C$5,Expenses!$C$7:$C$506,$B16,Expenses!$I$7:$I$506,Settings!$C$5)+SUMIFS(Expenses!$E$7:$E$506,Expenses!$B$7:$B$506,"All Properties (split)",Expenses!$C$7:$C$506,$B16,Expenses!$I$7:$I$506,Settings!$C$5)*C$6)</f>
        <v/>
      </c>
      <c r="D16" s="67" t="str">
        <f>IF(D$5="","",SUMIFS(Expenses!$E$7:$E$506,Expenses!$B$7:$B$506,D$5,Expenses!$C$7:$C$506,$B16,Expenses!$I$7:$I$506,Settings!$C$5)+SUMIFS(Expenses!$E$7:$E$506,Expenses!$B$7:$B$506,"All Properties (split)",Expenses!$C$7:$C$506,$B16,Expenses!$I$7:$I$506,Settings!$C$5)*D$6)</f>
        <v/>
      </c>
      <c r="E16" s="67" t="str">
        <f>IF(E$5="","",SUMIFS(Expenses!$E$7:$E$506,Expenses!$B$7:$B$506,E$5,Expenses!$C$7:$C$506,$B16,Expenses!$I$7:$I$506,Settings!$C$5)+SUMIFS(Expenses!$E$7:$E$506,Expenses!$B$7:$B$506,"All Properties (split)",Expenses!$C$7:$C$506,$B16,Expenses!$I$7:$I$506,Settings!$C$5)*E$6)</f>
        <v/>
      </c>
      <c r="F16" s="67" t="str">
        <f>IF(F$5="","",SUMIFS(Expenses!$E$7:$E$506,Expenses!$B$7:$B$506,F$5,Expenses!$C$7:$C$506,$B16,Expenses!$I$7:$I$506,Settings!$C$5)+SUMIFS(Expenses!$E$7:$E$506,Expenses!$B$7:$B$506,"All Properties (split)",Expenses!$C$7:$C$506,$B16,Expenses!$I$7:$I$506,Settings!$C$5)*F$6)</f>
        <v/>
      </c>
      <c r="G16" s="67" t="str">
        <f>IF(G$5="","",SUMIFS(Expenses!$E$7:$E$506,Expenses!$B$7:$B$506,G$5,Expenses!$C$7:$C$506,$B16,Expenses!$I$7:$I$506,Settings!$C$5)+SUMIFS(Expenses!$E$7:$E$506,Expenses!$B$7:$B$506,"All Properties (split)",Expenses!$C$7:$C$506,$B16,Expenses!$I$7:$I$506,Settings!$C$5)*G$6)</f>
        <v/>
      </c>
      <c r="H16" s="67" t="str">
        <f>IF(H$5="","",SUMIFS(Expenses!$E$7:$E$506,Expenses!$B$7:$B$506,H$5,Expenses!$C$7:$C$506,$B16,Expenses!$I$7:$I$506,Settings!$C$5)+SUMIFS(Expenses!$E$7:$E$506,Expenses!$B$7:$B$506,"All Properties (split)",Expenses!$C$7:$C$506,$B16,Expenses!$I$7:$I$506,Settings!$C$5)*H$6)</f>
        <v/>
      </c>
      <c r="I16" s="67" t="str">
        <f>IF(I$5="","",SUMIFS(Expenses!$E$7:$E$506,Expenses!$B$7:$B$506,I$5,Expenses!$C$7:$C$506,$B16,Expenses!$I$7:$I$506,Settings!$C$5)+SUMIFS(Expenses!$E$7:$E$506,Expenses!$B$7:$B$506,"All Properties (split)",Expenses!$C$7:$C$506,$B16,Expenses!$I$7:$I$506,Settings!$C$5)*I$6)</f>
        <v/>
      </c>
      <c r="J16" s="67" t="str">
        <f>IF(J$5="","",SUMIFS(Expenses!$E$7:$E$506,Expenses!$B$7:$B$506,J$5,Expenses!$C$7:$C$506,$B16,Expenses!$I$7:$I$506,Settings!$C$5)+SUMIFS(Expenses!$E$7:$E$506,Expenses!$B$7:$B$506,"All Properties (split)",Expenses!$C$7:$C$506,$B16,Expenses!$I$7:$I$506,Settings!$C$5)*J$6)</f>
        <v/>
      </c>
      <c r="K16" s="67" t="str">
        <f>IF(K$5="","",SUMIFS(Expenses!$E$7:$E$506,Expenses!$B$7:$B$506,K$5,Expenses!$C$7:$C$506,$B16,Expenses!$I$7:$I$506,Settings!$C$5)+SUMIFS(Expenses!$E$7:$E$506,Expenses!$B$7:$B$506,"All Properties (split)",Expenses!$C$7:$C$506,$B16,Expenses!$I$7:$I$506,Settings!$C$5)*K$6)</f>
        <v/>
      </c>
      <c r="L16" s="67" t="str">
        <f>IF(L$5="","",SUMIFS(Expenses!$E$7:$E$506,Expenses!$B$7:$B$506,L$5,Expenses!$C$7:$C$506,$B16,Expenses!$I$7:$I$506,Settings!$C$5)+SUMIFS(Expenses!$E$7:$E$506,Expenses!$B$7:$B$506,"All Properties (split)",Expenses!$C$7:$C$506,$B16,Expenses!$I$7:$I$506,Settings!$C$5)*L$6)</f>
        <v/>
      </c>
      <c r="M16" s="68">
        <f t="shared" si="0"/>
        <v>0</v>
      </c>
    </row>
    <row r="17" spans="1:13" ht="16" x14ac:dyDescent="0.2">
      <c r="A17" s="65" t="s">
        <v>211</v>
      </c>
      <c r="B17" s="66" t="s">
        <v>87</v>
      </c>
      <c r="C17" s="67" t="str">
        <f>IF(C$5="","",SUMIFS(Expenses!$E$7:$E$506,Expenses!$B$7:$B$506,C$5,Expenses!$C$7:$C$506,$B17,Expenses!$I$7:$I$506,Settings!$C$5)+SUMIFS(Expenses!$E$7:$E$506,Expenses!$B$7:$B$506,"All Properties (split)",Expenses!$C$7:$C$506,$B17,Expenses!$I$7:$I$506,Settings!$C$5)*C$6)</f>
        <v/>
      </c>
      <c r="D17" s="67" t="str">
        <f>IF(D$5="","",SUMIFS(Expenses!$E$7:$E$506,Expenses!$B$7:$B$506,D$5,Expenses!$C$7:$C$506,$B17,Expenses!$I$7:$I$506,Settings!$C$5)+SUMIFS(Expenses!$E$7:$E$506,Expenses!$B$7:$B$506,"All Properties (split)",Expenses!$C$7:$C$506,$B17,Expenses!$I$7:$I$506,Settings!$C$5)*D$6)</f>
        <v/>
      </c>
      <c r="E17" s="67" t="str">
        <f>IF(E$5="","",SUMIFS(Expenses!$E$7:$E$506,Expenses!$B$7:$B$506,E$5,Expenses!$C$7:$C$506,$B17,Expenses!$I$7:$I$506,Settings!$C$5)+SUMIFS(Expenses!$E$7:$E$506,Expenses!$B$7:$B$506,"All Properties (split)",Expenses!$C$7:$C$506,$B17,Expenses!$I$7:$I$506,Settings!$C$5)*E$6)</f>
        <v/>
      </c>
      <c r="F17" s="67" t="str">
        <f>IF(F$5="","",SUMIFS(Expenses!$E$7:$E$506,Expenses!$B$7:$B$506,F$5,Expenses!$C$7:$C$506,$B17,Expenses!$I$7:$I$506,Settings!$C$5)+SUMIFS(Expenses!$E$7:$E$506,Expenses!$B$7:$B$506,"All Properties (split)",Expenses!$C$7:$C$506,$B17,Expenses!$I$7:$I$506,Settings!$C$5)*F$6)</f>
        <v/>
      </c>
      <c r="G17" s="67" t="str">
        <f>IF(G$5="","",SUMIFS(Expenses!$E$7:$E$506,Expenses!$B$7:$B$506,G$5,Expenses!$C$7:$C$506,$B17,Expenses!$I$7:$I$506,Settings!$C$5)+SUMIFS(Expenses!$E$7:$E$506,Expenses!$B$7:$B$506,"All Properties (split)",Expenses!$C$7:$C$506,$B17,Expenses!$I$7:$I$506,Settings!$C$5)*G$6)</f>
        <v/>
      </c>
      <c r="H17" s="67" t="str">
        <f>IF(H$5="","",SUMIFS(Expenses!$E$7:$E$506,Expenses!$B$7:$B$506,H$5,Expenses!$C$7:$C$506,$B17,Expenses!$I$7:$I$506,Settings!$C$5)+SUMIFS(Expenses!$E$7:$E$506,Expenses!$B$7:$B$506,"All Properties (split)",Expenses!$C$7:$C$506,$B17,Expenses!$I$7:$I$506,Settings!$C$5)*H$6)</f>
        <v/>
      </c>
      <c r="I17" s="67" t="str">
        <f>IF(I$5="","",SUMIFS(Expenses!$E$7:$E$506,Expenses!$B$7:$B$506,I$5,Expenses!$C$7:$C$506,$B17,Expenses!$I$7:$I$506,Settings!$C$5)+SUMIFS(Expenses!$E$7:$E$506,Expenses!$B$7:$B$506,"All Properties (split)",Expenses!$C$7:$C$506,$B17,Expenses!$I$7:$I$506,Settings!$C$5)*I$6)</f>
        <v/>
      </c>
      <c r="J17" s="67" t="str">
        <f>IF(J$5="","",SUMIFS(Expenses!$E$7:$E$506,Expenses!$B$7:$B$506,J$5,Expenses!$C$7:$C$506,$B17,Expenses!$I$7:$I$506,Settings!$C$5)+SUMIFS(Expenses!$E$7:$E$506,Expenses!$B$7:$B$506,"All Properties (split)",Expenses!$C$7:$C$506,$B17,Expenses!$I$7:$I$506,Settings!$C$5)*J$6)</f>
        <v/>
      </c>
      <c r="K17" s="67" t="str">
        <f>IF(K$5="","",SUMIFS(Expenses!$E$7:$E$506,Expenses!$B$7:$B$506,K$5,Expenses!$C$7:$C$506,$B17,Expenses!$I$7:$I$506,Settings!$C$5)+SUMIFS(Expenses!$E$7:$E$506,Expenses!$B$7:$B$506,"All Properties (split)",Expenses!$C$7:$C$506,$B17,Expenses!$I$7:$I$506,Settings!$C$5)*K$6)</f>
        <v/>
      </c>
      <c r="L17" s="67" t="str">
        <f>IF(L$5="","",SUMIFS(Expenses!$E$7:$E$506,Expenses!$B$7:$B$506,L$5,Expenses!$C$7:$C$506,$B17,Expenses!$I$7:$I$506,Settings!$C$5)+SUMIFS(Expenses!$E$7:$E$506,Expenses!$B$7:$B$506,"All Properties (split)",Expenses!$C$7:$C$506,$B17,Expenses!$I$7:$I$506,Settings!$C$5)*L$6)</f>
        <v/>
      </c>
      <c r="M17" s="68">
        <f t="shared" si="0"/>
        <v>0</v>
      </c>
    </row>
    <row r="18" spans="1:13" ht="16" x14ac:dyDescent="0.2">
      <c r="A18" s="65" t="s">
        <v>212</v>
      </c>
      <c r="B18" s="66" t="s">
        <v>89</v>
      </c>
      <c r="C18" s="67" t="str">
        <f>IF(C$5="","",SUMIFS(Expenses!$E$7:$E$506,Expenses!$B$7:$B$506,C$5,Expenses!$C$7:$C$506,$B18,Expenses!$I$7:$I$506,Settings!$C$5)+SUMIFS(Expenses!$E$7:$E$506,Expenses!$B$7:$B$506,"All Properties (split)",Expenses!$C$7:$C$506,$B18,Expenses!$I$7:$I$506,Settings!$C$5)*C$6)</f>
        <v/>
      </c>
      <c r="D18" s="67" t="str">
        <f>IF(D$5="","",SUMIFS(Expenses!$E$7:$E$506,Expenses!$B$7:$B$506,D$5,Expenses!$C$7:$C$506,$B18,Expenses!$I$7:$I$506,Settings!$C$5)+SUMIFS(Expenses!$E$7:$E$506,Expenses!$B$7:$B$506,"All Properties (split)",Expenses!$C$7:$C$506,$B18,Expenses!$I$7:$I$506,Settings!$C$5)*D$6)</f>
        <v/>
      </c>
      <c r="E18" s="67" t="str">
        <f>IF(E$5="","",SUMIFS(Expenses!$E$7:$E$506,Expenses!$B$7:$B$506,E$5,Expenses!$C$7:$C$506,$B18,Expenses!$I$7:$I$506,Settings!$C$5)+SUMIFS(Expenses!$E$7:$E$506,Expenses!$B$7:$B$506,"All Properties (split)",Expenses!$C$7:$C$506,$B18,Expenses!$I$7:$I$506,Settings!$C$5)*E$6)</f>
        <v/>
      </c>
      <c r="F18" s="67" t="str">
        <f>IF(F$5="","",SUMIFS(Expenses!$E$7:$E$506,Expenses!$B$7:$B$506,F$5,Expenses!$C$7:$C$506,$B18,Expenses!$I$7:$I$506,Settings!$C$5)+SUMIFS(Expenses!$E$7:$E$506,Expenses!$B$7:$B$506,"All Properties (split)",Expenses!$C$7:$C$506,$B18,Expenses!$I$7:$I$506,Settings!$C$5)*F$6)</f>
        <v/>
      </c>
      <c r="G18" s="67" t="str">
        <f>IF(G$5="","",SUMIFS(Expenses!$E$7:$E$506,Expenses!$B$7:$B$506,G$5,Expenses!$C$7:$C$506,$B18,Expenses!$I$7:$I$506,Settings!$C$5)+SUMIFS(Expenses!$E$7:$E$506,Expenses!$B$7:$B$506,"All Properties (split)",Expenses!$C$7:$C$506,$B18,Expenses!$I$7:$I$506,Settings!$C$5)*G$6)</f>
        <v/>
      </c>
      <c r="H18" s="67" t="str">
        <f>IF(H$5="","",SUMIFS(Expenses!$E$7:$E$506,Expenses!$B$7:$B$506,H$5,Expenses!$C$7:$C$506,$B18,Expenses!$I$7:$I$506,Settings!$C$5)+SUMIFS(Expenses!$E$7:$E$506,Expenses!$B$7:$B$506,"All Properties (split)",Expenses!$C$7:$C$506,$B18,Expenses!$I$7:$I$506,Settings!$C$5)*H$6)</f>
        <v/>
      </c>
      <c r="I18" s="67" t="str">
        <f>IF(I$5="","",SUMIFS(Expenses!$E$7:$E$506,Expenses!$B$7:$B$506,I$5,Expenses!$C$7:$C$506,$B18,Expenses!$I$7:$I$506,Settings!$C$5)+SUMIFS(Expenses!$E$7:$E$506,Expenses!$B$7:$B$506,"All Properties (split)",Expenses!$C$7:$C$506,$B18,Expenses!$I$7:$I$506,Settings!$C$5)*I$6)</f>
        <v/>
      </c>
      <c r="J18" s="67" t="str">
        <f>IF(J$5="","",SUMIFS(Expenses!$E$7:$E$506,Expenses!$B$7:$B$506,J$5,Expenses!$C$7:$C$506,$B18,Expenses!$I$7:$I$506,Settings!$C$5)+SUMIFS(Expenses!$E$7:$E$506,Expenses!$B$7:$B$506,"All Properties (split)",Expenses!$C$7:$C$506,$B18,Expenses!$I$7:$I$506,Settings!$C$5)*J$6)</f>
        <v/>
      </c>
      <c r="K18" s="67" t="str">
        <f>IF(K$5="","",SUMIFS(Expenses!$E$7:$E$506,Expenses!$B$7:$B$506,K$5,Expenses!$C$7:$C$506,$B18,Expenses!$I$7:$I$506,Settings!$C$5)+SUMIFS(Expenses!$E$7:$E$506,Expenses!$B$7:$B$506,"All Properties (split)",Expenses!$C$7:$C$506,$B18,Expenses!$I$7:$I$506,Settings!$C$5)*K$6)</f>
        <v/>
      </c>
      <c r="L18" s="67" t="str">
        <f>IF(L$5="","",SUMIFS(Expenses!$E$7:$E$506,Expenses!$B$7:$B$506,L$5,Expenses!$C$7:$C$506,$B18,Expenses!$I$7:$I$506,Settings!$C$5)+SUMIFS(Expenses!$E$7:$E$506,Expenses!$B$7:$B$506,"All Properties (split)",Expenses!$C$7:$C$506,$B18,Expenses!$I$7:$I$506,Settings!$C$5)*L$6)</f>
        <v/>
      </c>
      <c r="M18" s="68">
        <f t="shared" si="0"/>
        <v>0</v>
      </c>
    </row>
    <row r="19" spans="1:13" ht="16" x14ac:dyDescent="0.2">
      <c r="A19" s="65" t="s">
        <v>213</v>
      </c>
      <c r="B19" s="66" t="s">
        <v>91</v>
      </c>
      <c r="C19" s="67" t="str">
        <f>IF(C$5="","",SUMIFS(Expenses!$E$7:$E$506,Expenses!$B$7:$B$506,C$5,Expenses!$C$7:$C$506,$B19,Expenses!$I$7:$I$506,Settings!$C$5)+SUMIFS(Expenses!$E$7:$E$506,Expenses!$B$7:$B$506,"All Properties (split)",Expenses!$C$7:$C$506,$B19,Expenses!$I$7:$I$506,Settings!$C$5)*C$6)</f>
        <v/>
      </c>
      <c r="D19" s="67" t="str">
        <f>IF(D$5="","",SUMIFS(Expenses!$E$7:$E$506,Expenses!$B$7:$B$506,D$5,Expenses!$C$7:$C$506,$B19,Expenses!$I$7:$I$506,Settings!$C$5)+SUMIFS(Expenses!$E$7:$E$506,Expenses!$B$7:$B$506,"All Properties (split)",Expenses!$C$7:$C$506,$B19,Expenses!$I$7:$I$506,Settings!$C$5)*D$6)</f>
        <v/>
      </c>
      <c r="E19" s="67" t="str">
        <f>IF(E$5="","",SUMIFS(Expenses!$E$7:$E$506,Expenses!$B$7:$B$506,E$5,Expenses!$C$7:$C$506,$B19,Expenses!$I$7:$I$506,Settings!$C$5)+SUMIFS(Expenses!$E$7:$E$506,Expenses!$B$7:$B$506,"All Properties (split)",Expenses!$C$7:$C$506,$B19,Expenses!$I$7:$I$506,Settings!$C$5)*E$6)</f>
        <v/>
      </c>
      <c r="F19" s="67" t="str">
        <f>IF(F$5="","",SUMIFS(Expenses!$E$7:$E$506,Expenses!$B$7:$B$506,F$5,Expenses!$C$7:$C$506,$B19,Expenses!$I$7:$I$506,Settings!$C$5)+SUMIFS(Expenses!$E$7:$E$506,Expenses!$B$7:$B$506,"All Properties (split)",Expenses!$C$7:$C$506,$B19,Expenses!$I$7:$I$506,Settings!$C$5)*F$6)</f>
        <v/>
      </c>
      <c r="G19" s="67" t="str">
        <f>IF(G$5="","",SUMIFS(Expenses!$E$7:$E$506,Expenses!$B$7:$B$506,G$5,Expenses!$C$7:$C$506,$B19,Expenses!$I$7:$I$506,Settings!$C$5)+SUMIFS(Expenses!$E$7:$E$506,Expenses!$B$7:$B$506,"All Properties (split)",Expenses!$C$7:$C$506,$B19,Expenses!$I$7:$I$506,Settings!$C$5)*G$6)</f>
        <v/>
      </c>
      <c r="H19" s="67" t="str">
        <f>IF(H$5="","",SUMIFS(Expenses!$E$7:$E$506,Expenses!$B$7:$B$506,H$5,Expenses!$C$7:$C$506,$B19,Expenses!$I$7:$I$506,Settings!$C$5)+SUMIFS(Expenses!$E$7:$E$506,Expenses!$B$7:$B$506,"All Properties (split)",Expenses!$C$7:$C$506,$B19,Expenses!$I$7:$I$506,Settings!$C$5)*H$6)</f>
        <v/>
      </c>
      <c r="I19" s="67" t="str">
        <f>IF(I$5="","",SUMIFS(Expenses!$E$7:$E$506,Expenses!$B$7:$B$506,I$5,Expenses!$C$7:$C$506,$B19,Expenses!$I$7:$I$506,Settings!$C$5)+SUMIFS(Expenses!$E$7:$E$506,Expenses!$B$7:$B$506,"All Properties (split)",Expenses!$C$7:$C$506,$B19,Expenses!$I$7:$I$506,Settings!$C$5)*I$6)</f>
        <v/>
      </c>
      <c r="J19" s="67" t="str">
        <f>IF(J$5="","",SUMIFS(Expenses!$E$7:$E$506,Expenses!$B$7:$B$506,J$5,Expenses!$C$7:$C$506,$B19,Expenses!$I$7:$I$506,Settings!$C$5)+SUMIFS(Expenses!$E$7:$E$506,Expenses!$B$7:$B$506,"All Properties (split)",Expenses!$C$7:$C$506,$B19,Expenses!$I$7:$I$506,Settings!$C$5)*J$6)</f>
        <v/>
      </c>
      <c r="K19" s="67" t="str">
        <f>IF(K$5="","",SUMIFS(Expenses!$E$7:$E$506,Expenses!$B$7:$B$506,K$5,Expenses!$C$7:$C$506,$B19,Expenses!$I$7:$I$506,Settings!$C$5)+SUMIFS(Expenses!$E$7:$E$506,Expenses!$B$7:$B$506,"All Properties (split)",Expenses!$C$7:$C$506,$B19,Expenses!$I$7:$I$506,Settings!$C$5)*K$6)</f>
        <v/>
      </c>
      <c r="L19" s="67" t="str">
        <f>IF(L$5="","",SUMIFS(Expenses!$E$7:$E$506,Expenses!$B$7:$B$506,L$5,Expenses!$C$7:$C$506,$B19,Expenses!$I$7:$I$506,Settings!$C$5)+SUMIFS(Expenses!$E$7:$E$506,Expenses!$B$7:$B$506,"All Properties (split)",Expenses!$C$7:$C$506,$B19,Expenses!$I$7:$I$506,Settings!$C$5)*L$6)</f>
        <v/>
      </c>
      <c r="M19" s="68">
        <f t="shared" si="0"/>
        <v>0</v>
      </c>
    </row>
    <row r="20" spans="1:13" ht="16" x14ac:dyDescent="0.2">
      <c r="A20" s="65" t="s">
        <v>214</v>
      </c>
      <c r="B20" s="66" t="s">
        <v>93</v>
      </c>
      <c r="C20" s="67" t="str">
        <f>IF(C$5="","",SUMIFS(Expenses!$E$7:$E$506,Expenses!$B$7:$B$506,C$5,Expenses!$C$7:$C$506,$B20,Expenses!$I$7:$I$506,Settings!$C$5)+SUMIFS(Expenses!$E$7:$E$506,Expenses!$B$7:$B$506,"All Properties (split)",Expenses!$C$7:$C$506,$B20,Expenses!$I$7:$I$506,Settings!$C$5)*C$6)</f>
        <v/>
      </c>
      <c r="D20" s="67" t="str">
        <f>IF(D$5="","",SUMIFS(Expenses!$E$7:$E$506,Expenses!$B$7:$B$506,D$5,Expenses!$C$7:$C$506,$B20,Expenses!$I$7:$I$506,Settings!$C$5)+SUMIFS(Expenses!$E$7:$E$506,Expenses!$B$7:$B$506,"All Properties (split)",Expenses!$C$7:$C$506,$B20,Expenses!$I$7:$I$506,Settings!$C$5)*D$6)</f>
        <v/>
      </c>
      <c r="E20" s="67" t="str">
        <f>IF(E$5="","",SUMIFS(Expenses!$E$7:$E$506,Expenses!$B$7:$B$506,E$5,Expenses!$C$7:$C$506,$B20,Expenses!$I$7:$I$506,Settings!$C$5)+SUMIFS(Expenses!$E$7:$E$506,Expenses!$B$7:$B$506,"All Properties (split)",Expenses!$C$7:$C$506,$B20,Expenses!$I$7:$I$506,Settings!$C$5)*E$6)</f>
        <v/>
      </c>
      <c r="F20" s="67" t="str">
        <f>IF(F$5="","",SUMIFS(Expenses!$E$7:$E$506,Expenses!$B$7:$B$506,F$5,Expenses!$C$7:$C$506,$B20,Expenses!$I$7:$I$506,Settings!$C$5)+SUMIFS(Expenses!$E$7:$E$506,Expenses!$B$7:$B$506,"All Properties (split)",Expenses!$C$7:$C$506,$B20,Expenses!$I$7:$I$506,Settings!$C$5)*F$6)</f>
        <v/>
      </c>
      <c r="G20" s="67" t="str">
        <f>IF(G$5="","",SUMIFS(Expenses!$E$7:$E$506,Expenses!$B$7:$B$506,G$5,Expenses!$C$7:$C$506,$B20,Expenses!$I$7:$I$506,Settings!$C$5)+SUMIFS(Expenses!$E$7:$E$506,Expenses!$B$7:$B$506,"All Properties (split)",Expenses!$C$7:$C$506,$B20,Expenses!$I$7:$I$506,Settings!$C$5)*G$6)</f>
        <v/>
      </c>
      <c r="H20" s="67" t="str">
        <f>IF(H$5="","",SUMIFS(Expenses!$E$7:$E$506,Expenses!$B$7:$B$506,H$5,Expenses!$C$7:$C$506,$B20,Expenses!$I$7:$I$506,Settings!$C$5)+SUMIFS(Expenses!$E$7:$E$506,Expenses!$B$7:$B$506,"All Properties (split)",Expenses!$C$7:$C$506,$B20,Expenses!$I$7:$I$506,Settings!$C$5)*H$6)</f>
        <v/>
      </c>
      <c r="I20" s="67" t="str">
        <f>IF(I$5="","",SUMIFS(Expenses!$E$7:$E$506,Expenses!$B$7:$B$506,I$5,Expenses!$C$7:$C$506,$B20,Expenses!$I$7:$I$506,Settings!$C$5)+SUMIFS(Expenses!$E$7:$E$506,Expenses!$B$7:$B$506,"All Properties (split)",Expenses!$C$7:$C$506,$B20,Expenses!$I$7:$I$506,Settings!$C$5)*I$6)</f>
        <v/>
      </c>
      <c r="J20" s="67" t="str">
        <f>IF(J$5="","",SUMIFS(Expenses!$E$7:$E$506,Expenses!$B$7:$B$506,J$5,Expenses!$C$7:$C$506,$B20,Expenses!$I$7:$I$506,Settings!$C$5)+SUMIFS(Expenses!$E$7:$E$506,Expenses!$B$7:$B$506,"All Properties (split)",Expenses!$C$7:$C$506,$B20,Expenses!$I$7:$I$506,Settings!$C$5)*J$6)</f>
        <v/>
      </c>
      <c r="K20" s="67" t="str">
        <f>IF(K$5="","",SUMIFS(Expenses!$E$7:$E$506,Expenses!$B$7:$B$506,K$5,Expenses!$C$7:$C$506,$B20,Expenses!$I$7:$I$506,Settings!$C$5)+SUMIFS(Expenses!$E$7:$E$506,Expenses!$B$7:$B$506,"All Properties (split)",Expenses!$C$7:$C$506,$B20,Expenses!$I$7:$I$506,Settings!$C$5)*K$6)</f>
        <v/>
      </c>
      <c r="L20" s="67" t="str">
        <f>IF(L$5="","",SUMIFS(Expenses!$E$7:$E$506,Expenses!$B$7:$B$506,L$5,Expenses!$C$7:$C$506,$B20,Expenses!$I$7:$I$506,Settings!$C$5)+SUMIFS(Expenses!$E$7:$E$506,Expenses!$B$7:$B$506,"All Properties (split)",Expenses!$C$7:$C$506,$B20,Expenses!$I$7:$I$506,Settings!$C$5)*L$6)</f>
        <v/>
      </c>
      <c r="M20" s="68">
        <f t="shared" si="0"/>
        <v>0</v>
      </c>
    </row>
    <row r="21" spans="1:13" ht="16" x14ac:dyDescent="0.2">
      <c r="A21" s="65" t="s">
        <v>215</v>
      </c>
      <c r="B21" s="66" t="s">
        <v>95</v>
      </c>
      <c r="C21" s="67" t="str">
        <f>IF(C$5="","",SUMIFS(Expenses!$E$7:$E$506,Expenses!$B$7:$B$506,C$5,Expenses!$C$7:$C$506,$B21,Expenses!$I$7:$I$506,Settings!$C$5)+SUMIFS(Expenses!$E$7:$E$506,Expenses!$B$7:$B$506,"All Properties (split)",Expenses!$C$7:$C$506,$B21,Expenses!$I$7:$I$506,Settings!$C$5)*C$6)</f>
        <v/>
      </c>
      <c r="D21" s="67" t="str">
        <f>IF(D$5="","",SUMIFS(Expenses!$E$7:$E$506,Expenses!$B$7:$B$506,D$5,Expenses!$C$7:$C$506,$B21,Expenses!$I$7:$I$506,Settings!$C$5)+SUMIFS(Expenses!$E$7:$E$506,Expenses!$B$7:$B$506,"All Properties (split)",Expenses!$C$7:$C$506,$B21,Expenses!$I$7:$I$506,Settings!$C$5)*D$6)</f>
        <v/>
      </c>
      <c r="E21" s="67" t="str">
        <f>IF(E$5="","",SUMIFS(Expenses!$E$7:$E$506,Expenses!$B$7:$B$506,E$5,Expenses!$C$7:$C$506,$B21,Expenses!$I$7:$I$506,Settings!$C$5)+SUMIFS(Expenses!$E$7:$E$506,Expenses!$B$7:$B$506,"All Properties (split)",Expenses!$C$7:$C$506,$B21,Expenses!$I$7:$I$506,Settings!$C$5)*E$6)</f>
        <v/>
      </c>
      <c r="F21" s="67" t="str">
        <f>IF(F$5="","",SUMIFS(Expenses!$E$7:$E$506,Expenses!$B$7:$B$506,F$5,Expenses!$C$7:$C$506,$B21,Expenses!$I$7:$I$506,Settings!$C$5)+SUMIFS(Expenses!$E$7:$E$506,Expenses!$B$7:$B$506,"All Properties (split)",Expenses!$C$7:$C$506,$B21,Expenses!$I$7:$I$506,Settings!$C$5)*F$6)</f>
        <v/>
      </c>
      <c r="G21" s="67" t="str">
        <f>IF(G$5="","",SUMIFS(Expenses!$E$7:$E$506,Expenses!$B$7:$B$506,G$5,Expenses!$C$7:$C$506,$B21,Expenses!$I$7:$I$506,Settings!$C$5)+SUMIFS(Expenses!$E$7:$E$506,Expenses!$B$7:$B$506,"All Properties (split)",Expenses!$C$7:$C$506,$B21,Expenses!$I$7:$I$506,Settings!$C$5)*G$6)</f>
        <v/>
      </c>
      <c r="H21" s="67" t="str">
        <f>IF(H$5="","",SUMIFS(Expenses!$E$7:$E$506,Expenses!$B$7:$B$506,H$5,Expenses!$C$7:$C$506,$B21,Expenses!$I$7:$I$506,Settings!$C$5)+SUMIFS(Expenses!$E$7:$E$506,Expenses!$B$7:$B$506,"All Properties (split)",Expenses!$C$7:$C$506,$B21,Expenses!$I$7:$I$506,Settings!$C$5)*H$6)</f>
        <v/>
      </c>
      <c r="I21" s="67" t="str">
        <f>IF(I$5="","",SUMIFS(Expenses!$E$7:$E$506,Expenses!$B$7:$B$506,I$5,Expenses!$C$7:$C$506,$B21,Expenses!$I$7:$I$506,Settings!$C$5)+SUMIFS(Expenses!$E$7:$E$506,Expenses!$B$7:$B$506,"All Properties (split)",Expenses!$C$7:$C$506,$B21,Expenses!$I$7:$I$506,Settings!$C$5)*I$6)</f>
        <v/>
      </c>
      <c r="J21" s="67" t="str">
        <f>IF(J$5="","",SUMIFS(Expenses!$E$7:$E$506,Expenses!$B$7:$B$506,J$5,Expenses!$C$7:$C$506,$B21,Expenses!$I$7:$I$506,Settings!$C$5)+SUMIFS(Expenses!$E$7:$E$506,Expenses!$B$7:$B$506,"All Properties (split)",Expenses!$C$7:$C$506,$B21,Expenses!$I$7:$I$506,Settings!$C$5)*J$6)</f>
        <v/>
      </c>
      <c r="K21" s="67" t="str">
        <f>IF(K$5="","",SUMIFS(Expenses!$E$7:$E$506,Expenses!$B$7:$B$506,K$5,Expenses!$C$7:$C$506,$B21,Expenses!$I$7:$I$506,Settings!$C$5)+SUMIFS(Expenses!$E$7:$E$506,Expenses!$B$7:$B$506,"All Properties (split)",Expenses!$C$7:$C$506,$B21,Expenses!$I$7:$I$506,Settings!$C$5)*K$6)</f>
        <v/>
      </c>
      <c r="L21" s="67" t="str">
        <f>IF(L$5="","",SUMIFS(Expenses!$E$7:$E$506,Expenses!$B$7:$B$506,L$5,Expenses!$C$7:$C$506,$B21,Expenses!$I$7:$I$506,Settings!$C$5)+SUMIFS(Expenses!$E$7:$E$506,Expenses!$B$7:$B$506,"All Properties (split)",Expenses!$C$7:$C$506,$B21,Expenses!$I$7:$I$506,Settings!$C$5)*L$6)</f>
        <v/>
      </c>
      <c r="M21" s="68">
        <f t="shared" si="0"/>
        <v>0</v>
      </c>
    </row>
    <row r="22" spans="1:13" ht="16" x14ac:dyDescent="0.2">
      <c r="A22" s="65" t="s">
        <v>216</v>
      </c>
      <c r="B22" s="66" t="s">
        <v>217</v>
      </c>
      <c r="C22" s="67" t="str">
        <f>IF(C$5="","",IFERROR(INDEX(Properties!$L$6:$L$15,MATCH(C$5,Properties!$A$6:$A$15,0)),0))</f>
        <v/>
      </c>
      <c r="D22" s="67" t="str">
        <f>IF(D$5="","",IFERROR(INDEX(Properties!$L$6:$L$15,MATCH(D$5,Properties!$A$6:$A$15,0)),0))</f>
        <v/>
      </c>
      <c r="E22" s="67" t="str">
        <f>IF(E$5="","",IFERROR(INDEX(Properties!$L$6:$L$15,MATCH(E$5,Properties!$A$6:$A$15,0)),0))</f>
        <v/>
      </c>
      <c r="F22" s="67" t="str">
        <f>IF(F$5="","",IFERROR(INDEX(Properties!$L$6:$L$15,MATCH(F$5,Properties!$A$6:$A$15,0)),0))</f>
        <v/>
      </c>
      <c r="G22" s="67" t="str">
        <f>IF(G$5="","",IFERROR(INDEX(Properties!$L$6:$L$15,MATCH(G$5,Properties!$A$6:$A$15,0)),0))</f>
        <v/>
      </c>
      <c r="H22" s="67" t="str">
        <f>IF(H$5="","",IFERROR(INDEX(Properties!$L$6:$L$15,MATCH(H$5,Properties!$A$6:$A$15,0)),0))</f>
        <v/>
      </c>
      <c r="I22" s="67" t="str">
        <f>IF(I$5="","",IFERROR(INDEX(Properties!$L$6:$L$15,MATCH(I$5,Properties!$A$6:$A$15,0)),0))</f>
        <v/>
      </c>
      <c r="J22" s="67" t="str">
        <f>IF(J$5="","",IFERROR(INDEX(Properties!$L$6:$L$15,MATCH(J$5,Properties!$A$6:$A$15,0)),0))</f>
        <v/>
      </c>
      <c r="K22" s="67" t="str">
        <f>IF(K$5="","",IFERROR(INDEX(Properties!$L$6:$L$15,MATCH(K$5,Properties!$A$6:$A$15,0)),0))</f>
        <v/>
      </c>
      <c r="L22" s="67" t="str">
        <f>IF(L$5="","",IFERROR(INDEX(Properties!$L$6:$L$15,MATCH(L$5,Properties!$A$6:$A$15,0)),0))</f>
        <v/>
      </c>
      <c r="M22" s="68">
        <f t="shared" si="0"/>
        <v>0</v>
      </c>
    </row>
    <row r="23" spans="1:13" ht="16" x14ac:dyDescent="0.2">
      <c r="A23" s="65" t="s">
        <v>218</v>
      </c>
      <c r="B23" s="66" t="s">
        <v>97</v>
      </c>
      <c r="C23" s="67" t="str">
        <f>IF(C$5="","",SUMIFS(Expenses!$E$7:$E$506,Expenses!$B$7:$B$506,C$5,Expenses!$C$7:$C$506,$B23,Expenses!$I$7:$I$506,Settings!$C$5)+SUMIFS(Expenses!$E$7:$E$506,Expenses!$B$7:$B$506,"All Properties (split)",Expenses!$C$7:$C$506,$B23,Expenses!$I$7:$I$506,Settings!$C$5)*C$6)</f>
        <v/>
      </c>
      <c r="D23" s="67" t="str">
        <f>IF(D$5="","",SUMIFS(Expenses!$E$7:$E$506,Expenses!$B$7:$B$506,D$5,Expenses!$C$7:$C$506,$B23,Expenses!$I$7:$I$506,Settings!$C$5)+SUMIFS(Expenses!$E$7:$E$506,Expenses!$B$7:$B$506,"All Properties (split)",Expenses!$C$7:$C$506,$B23,Expenses!$I$7:$I$506,Settings!$C$5)*D$6)</f>
        <v/>
      </c>
      <c r="E23" s="67" t="str">
        <f>IF(E$5="","",SUMIFS(Expenses!$E$7:$E$506,Expenses!$B$7:$B$506,E$5,Expenses!$C$7:$C$506,$B23,Expenses!$I$7:$I$506,Settings!$C$5)+SUMIFS(Expenses!$E$7:$E$506,Expenses!$B$7:$B$506,"All Properties (split)",Expenses!$C$7:$C$506,$B23,Expenses!$I$7:$I$506,Settings!$C$5)*E$6)</f>
        <v/>
      </c>
      <c r="F23" s="67" t="str">
        <f>IF(F$5="","",SUMIFS(Expenses!$E$7:$E$506,Expenses!$B$7:$B$506,F$5,Expenses!$C$7:$C$506,$B23,Expenses!$I$7:$I$506,Settings!$C$5)+SUMIFS(Expenses!$E$7:$E$506,Expenses!$B$7:$B$506,"All Properties (split)",Expenses!$C$7:$C$506,$B23,Expenses!$I$7:$I$506,Settings!$C$5)*F$6)</f>
        <v/>
      </c>
      <c r="G23" s="67" t="str">
        <f>IF(G$5="","",SUMIFS(Expenses!$E$7:$E$506,Expenses!$B$7:$B$506,G$5,Expenses!$C$7:$C$506,$B23,Expenses!$I$7:$I$506,Settings!$C$5)+SUMIFS(Expenses!$E$7:$E$506,Expenses!$B$7:$B$506,"All Properties (split)",Expenses!$C$7:$C$506,$B23,Expenses!$I$7:$I$506,Settings!$C$5)*G$6)</f>
        <v/>
      </c>
      <c r="H23" s="67" t="str">
        <f>IF(H$5="","",SUMIFS(Expenses!$E$7:$E$506,Expenses!$B$7:$B$506,H$5,Expenses!$C$7:$C$506,$B23,Expenses!$I$7:$I$506,Settings!$C$5)+SUMIFS(Expenses!$E$7:$E$506,Expenses!$B$7:$B$506,"All Properties (split)",Expenses!$C$7:$C$506,$B23,Expenses!$I$7:$I$506,Settings!$C$5)*H$6)</f>
        <v/>
      </c>
      <c r="I23" s="67" t="str">
        <f>IF(I$5="","",SUMIFS(Expenses!$E$7:$E$506,Expenses!$B$7:$B$506,I$5,Expenses!$C$7:$C$506,$B23,Expenses!$I$7:$I$506,Settings!$C$5)+SUMIFS(Expenses!$E$7:$E$506,Expenses!$B$7:$B$506,"All Properties (split)",Expenses!$C$7:$C$506,$B23,Expenses!$I$7:$I$506,Settings!$C$5)*I$6)</f>
        <v/>
      </c>
      <c r="J23" s="67" t="str">
        <f>IF(J$5="","",SUMIFS(Expenses!$E$7:$E$506,Expenses!$B$7:$B$506,J$5,Expenses!$C$7:$C$506,$B23,Expenses!$I$7:$I$506,Settings!$C$5)+SUMIFS(Expenses!$E$7:$E$506,Expenses!$B$7:$B$506,"All Properties (split)",Expenses!$C$7:$C$506,$B23,Expenses!$I$7:$I$506,Settings!$C$5)*J$6)</f>
        <v/>
      </c>
      <c r="K23" s="67" t="str">
        <f>IF(K$5="","",SUMIFS(Expenses!$E$7:$E$506,Expenses!$B$7:$B$506,K$5,Expenses!$C$7:$C$506,$B23,Expenses!$I$7:$I$506,Settings!$C$5)+SUMIFS(Expenses!$E$7:$E$506,Expenses!$B$7:$B$506,"All Properties (split)",Expenses!$C$7:$C$506,$B23,Expenses!$I$7:$I$506,Settings!$C$5)*K$6)</f>
        <v/>
      </c>
      <c r="L23" s="67" t="str">
        <f>IF(L$5="","",SUMIFS(Expenses!$E$7:$E$506,Expenses!$B$7:$B$506,L$5,Expenses!$C$7:$C$506,$B23,Expenses!$I$7:$I$506,Settings!$C$5)+SUMIFS(Expenses!$E$7:$E$506,Expenses!$B$7:$B$506,"All Properties (split)",Expenses!$C$7:$C$506,$B23,Expenses!$I$7:$I$506,Settings!$C$5)*L$6)</f>
        <v/>
      </c>
      <c r="M23" s="68">
        <f t="shared" si="0"/>
        <v>0</v>
      </c>
    </row>
    <row r="24" spans="1:13" ht="16" x14ac:dyDescent="0.2">
      <c r="A24" s="69" t="s">
        <v>219</v>
      </c>
      <c r="B24" s="69"/>
      <c r="C24" s="70" t="str">
        <f t="shared" ref="C24:L24" si="1">IF(C$5="","",SUM(C9:C23))</f>
        <v/>
      </c>
      <c r="D24" s="70" t="str">
        <f t="shared" si="1"/>
        <v/>
      </c>
      <c r="E24" s="70" t="str">
        <f t="shared" si="1"/>
        <v/>
      </c>
      <c r="F24" s="70" t="str">
        <f t="shared" si="1"/>
        <v/>
      </c>
      <c r="G24" s="70" t="str">
        <f t="shared" si="1"/>
        <v/>
      </c>
      <c r="H24" s="70" t="str">
        <f t="shared" si="1"/>
        <v/>
      </c>
      <c r="I24" s="70" t="str">
        <f t="shared" si="1"/>
        <v/>
      </c>
      <c r="J24" s="70" t="str">
        <f t="shared" si="1"/>
        <v/>
      </c>
      <c r="K24" s="70" t="str">
        <f t="shared" si="1"/>
        <v/>
      </c>
      <c r="L24" s="70" t="str">
        <f t="shared" si="1"/>
        <v/>
      </c>
      <c r="M24" s="70">
        <f>SUM(M9:M23)</f>
        <v>0</v>
      </c>
    </row>
    <row r="25" spans="1:13" ht="16" x14ac:dyDescent="0.2">
      <c r="A25" s="71" t="s">
        <v>220</v>
      </c>
      <c r="B25" s="71"/>
      <c r="C25" s="72" t="str">
        <f t="shared" ref="C25:L25" si="2">IF(C$5="","",C7-C24)</f>
        <v/>
      </c>
      <c r="D25" s="72" t="str">
        <f t="shared" si="2"/>
        <v/>
      </c>
      <c r="E25" s="72" t="str">
        <f t="shared" si="2"/>
        <v/>
      </c>
      <c r="F25" s="72" t="str">
        <f t="shared" si="2"/>
        <v/>
      </c>
      <c r="G25" s="72" t="str">
        <f t="shared" si="2"/>
        <v/>
      </c>
      <c r="H25" s="72" t="str">
        <f t="shared" si="2"/>
        <v/>
      </c>
      <c r="I25" s="72" t="str">
        <f t="shared" si="2"/>
        <v/>
      </c>
      <c r="J25" s="72" t="str">
        <f t="shared" si="2"/>
        <v/>
      </c>
      <c r="K25" s="72" t="str">
        <f t="shared" si="2"/>
        <v/>
      </c>
      <c r="L25" s="72" t="str">
        <f t="shared" si="2"/>
        <v/>
      </c>
      <c r="M25" s="72">
        <f>M7-M24</f>
        <v>0</v>
      </c>
    </row>
    <row r="27" spans="1:13" ht="16" x14ac:dyDescent="0.2">
      <c r="A27" s="64" t="s">
        <v>221</v>
      </c>
    </row>
    <row r="28" spans="1:13" ht="16" x14ac:dyDescent="0.2">
      <c r="A28" s="73" t="s">
        <v>222</v>
      </c>
      <c r="M28" s="74">
        <f>M7</f>
        <v>0</v>
      </c>
    </row>
    <row r="29" spans="1:13" ht="16" x14ac:dyDescent="0.2">
      <c r="A29" s="73" t="s">
        <v>223</v>
      </c>
      <c r="M29" s="74">
        <f>M24-M22-SUMIFS(Mileage!$F$7:$F$506,Mileage!$G$7:$G$506,Settings!$C$5)</f>
        <v>0</v>
      </c>
    </row>
    <row r="30" spans="1:13" ht="16" x14ac:dyDescent="0.2">
      <c r="A30" s="73" t="s">
        <v>224</v>
      </c>
      <c r="M30" s="74">
        <f>SUMIFS(Expenses!$E$7:$E$506,Expenses!$C$7:$C$506,"Mortgage Principal (not deductible)",Expenses!$I$7:$I$506,Settings!$C$5)</f>
        <v>0</v>
      </c>
    </row>
    <row r="31" spans="1:13" ht="16" x14ac:dyDescent="0.2">
      <c r="A31" s="73" t="s">
        <v>225</v>
      </c>
      <c r="M31" s="74">
        <f>SUMIFS(Expenses!$E$7:$E$506,Expenses!$C$7:$C$506,"Capital Improvement (not deductible)",Expenses!$I$7:$I$506,Settings!$C$5)</f>
        <v>0</v>
      </c>
    </row>
    <row r="32" spans="1:13" ht="16" x14ac:dyDescent="0.2">
      <c r="A32" s="53" t="s">
        <v>226</v>
      </c>
      <c r="M32" s="75">
        <f>M28-M29-M30-M31</f>
        <v>0</v>
      </c>
    </row>
    <row r="34" spans="1:1" x14ac:dyDescent="0.2">
      <c r="A34" s="76" t="s">
        <v>227</v>
      </c>
    </row>
    <row r="35" spans="1:1" x14ac:dyDescent="0.2">
      <c r="A35" s="25" t="s">
        <v>228</v>
      </c>
    </row>
    <row r="36" spans="1:1" x14ac:dyDescent="0.2">
      <c r="A36" s="25" t="s">
        <v>229</v>
      </c>
    </row>
    <row r="37" spans="1:1" x14ac:dyDescent="0.2">
      <c r="A37" s="25" t="s">
        <v>230</v>
      </c>
    </row>
    <row r="38" spans="1:1" x14ac:dyDescent="0.2">
      <c r="A38" s="25" t="s">
        <v>231</v>
      </c>
    </row>
    <row r="39" spans="1:1" x14ac:dyDescent="0.2">
      <c r="A39" s="25" t="s">
        <v>232</v>
      </c>
    </row>
    <row r="40" spans="1:1" x14ac:dyDescent="0.2">
      <c r="A40" s="25" t="s">
        <v>233</v>
      </c>
    </row>
  </sheetData>
  <pageMargins left="0.75" right="0.75" top="1" bottom="1" header="0.511811023622047" footer="0.511811023622047"/>
  <pageSetup paperSize="1" fitToHeight="0" orientation="landscape" horizontalDpi="300" verticalDpi="300"/>
  <ignoredErrors>
    <ignoredError sqref="A1:AZ1000" numberStoredAsText="1" formula="1" formulaRange="1" unlockedFormula="1" emptyCellReference="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16362E"/>
  </sheetPr>
  <dimension ref="A1:H18"/>
  <sheetViews>
    <sheetView zoomScaleNormal="100" workbookViewId="0"/>
  </sheetViews>
  <sheetFormatPr baseColWidth="10" defaultColWidth="8.6640625" defaultRowHeight="15" x14ac:dyDescent="0.2"/>
  <cols>
    <col min="1" max="1" width="38" customWidth="1"/>
    <col min="2" max="2" width="14" customWidth="1"/>
    <col min="3" max="3" width="3" customWidth="1"/>
    <col min="4" max="4" width="26" customWidth="1"/>
    <col min="5" max="5" width="3" customWidth="1"/>
    <col min="6" max="6" width="20" customWidth="1"/>
    <col min="7" max="7" width="3" customWidth="1"/>
    <col min="8" max="8" width="16" customWidth="1"/>
  </cols>
  <sheetData>
    <row r="1" spans="1:8" ht="16" x14ac:dyDescent="0.2">
      <c r="A1" s="22" t="s">
        <v>234</v>
      </c>
    </row>
    <row r="2" spans="1:8" ht="16" x14ac:dyDescent="0.2">
      <c r="A2" s="53" t="s">
        <v>235</v>
      </c>
      <c r="B2" s="53" t="s">
        <v>28</v>
      </c>
      <c r="D2" s="53" t="s">
        <v>236</v>
      </c>
      <c r="F2" s="53" t="s">
        <v>158</v>
      </c>
      <c r="H2" s="53" t="s">
        <v>237</v>
      </c>
    </row>
    <row r="3" spans="1:8" x14ac:dyDescent="0.2">
      <c r="A3" t="s">
        <v>71</v>
      </c>
      <c r="B3" t="s">
        <v>72</v>
      </c>
      <c r="D3" t="s">
        <v>238</v>
      </c>
      <c r="F3" t="s">
        <v>239</v>
      </c>
      <c r="H3" t="s">
        <v>240</v>
      </c>
    </row>
    <row r="4" spans="1:8" x14ac:dyDescent="0.2">
      <c r="A4" t="s">
        <v>73</v>
      </c>
      <c r="B4" t="s">
        <v>74</v>
      </c>
      <c r="D4" t="str">
        <f>IF(Properties!$A$6="","",Properties!$A$6)</f>
        <v/>
      </c>
      <c r="F4" t="s">
        <v>241</v>
      </c>
      <c r="H4" t="s">
        <v>242</v>
      </c>
    </row>
    <row r="5" spans="1:8" x14ac:dyDescent="0.2">
      <c r="A5" t="s">
        <v>75</v>
      </c>
      <c r="B5" t="s">
        <v>76</v>
      </c>
      <c r="D5" t="str">
        <f>IF(Properties!$A$7="","",Properties!$A$7)</f>
        <v/>
      </c>
      <c r="F5" t="s">
        <v>243</v>
      </c>
      <c r="H5" t="s">
        <v>244</v>
      </c>
    </row>
    <row r="6" spans="1:8" x14ac:dyDescent="0.2">
      <c r="A6" t="s">
        <v>77</v>
      </c>
      <c r="B6" t="s">
        <v>78</v>
      </c>
      <c r="D6" t="str">
        <f>IF(Properties!$A$8="","",Properties!$A$8)</f>
        <v/>
      </c>
      <c r="F6" t="s">
        <v>245</v>
      </c>
      <c r="H6" t="s">
        <v>246</v>
      </c>
    </row>
    <row r="7" spans="1:8" x14ac:dyDescent="0.2">
      <c r="A7" t="s">
        <v>79</v>
      </c>
      <c r="B7" t="s">
        <v>80</v>
      </c>
      <c r="D7" t="str">
        <f>IF(Properties!$A$9="","",Properties!$A$9)</f>
        <v/>
      </c>
      <c r="F7" t="s">
        <v>247</v>
      </c>
      <c r="H7" t="s">
        <v>248</v>
      </c>
    </row>
    <row r="8" spans="1:8" x14ac:dyDescent="0.2">
      <c r="A8" t="s">
        <v>81</v>
      </c>
      <c r="B8" t="s">
        <v>82</v>
      </c>
      <c r="D8" t="str">
        <f>IF(Properties!$A$10="","",Properties!$A$10)</f>
        <v/>
      </c>
      <c r="F8" t="s">
        <v>249</v>
      </c>
      <c r="H8" t="s">
        <v>250</v>
      </c>
    </row>
    <row r="9" spans="1:8" x14ac:dyDescent="0.2">
      <c r="A9" t="s">
        <v>83</v>
      </c>
      <c r="B9" t="s">
        <v>84</v>
      </c>
      <c r="D9" t="str">
        <f>IF(Properties!$A$11="","",Properties!$A$11)</f>
        <v/>
      </c>
      <c r="F9" t="s">
        <v>251</v>
      </c>
      <c r="H9" t="s">
        <v>97</v>
      </c>
    </row>
    <row r="10" spans="1:8" x14ac:dyDescent="0.2">
      <c r="A10" t="s">
        <v>85</v>
      </c>
      <c r="B10" t="s">
        <v>86</v>
      </c>
      <c r="D10" t="str">
        <f>IF(Properties!$A$12="","",Properties!$A$12)</f>
        <v/>
      </c>
      <c r="F10" t="s">
        <v>97</v>
      </c>
    </row>
    <row r="11" spans="1:8" x14ac:dyDescent="0.2">
      <c r="A11" t="s">
        <v>87</v>
      </c>
      <c r="B11" t="s">
        <v>88</v>
      </c>
      <c r="D11" t="str">
        <f>IF(Properties!$A$13="","",Properties!$A$13)</f>
        <v/>
      </c>
    </row>
    <row r="12" spans="1:8" x14ac:dyDescent="0.2">
      <c r="A12" t="s">
        <v>89</v>
      </c>
      <c r="B12" t="s">
        <v>90</v>
      </c>
      <c r="D12" t="str">
        <f>IF(Properties!$A$14="","",Properties!$A$14)</f>
        <v/>
      </c>
    </row>
    <row r="13" spans="1:8" x14ac:dyDescent="0.2">
      <c r="A13" t="s">
        <v>91</v>
      </c>
      <c r="B13" t="s">
        <v>92</v>
      </c>
      <c r="D13" t="str">
        <f>IF(Properties!$A$15="","",Properties!$A$15)</f>
        <v/>
      </c>
    </row>
    <row r="14" spans="1:8" x14ac:dyDescent="0.2">
      <c r="A14" t="s">
        <v>93</v>
      </c>
      <c r="B14" t="s">
        <v>94</v>
      </c>
    </row>
    <row r="15" spans="1:8" x14ac:dyDescent="0.2">
      <c r="A15" t="s">
        <v>95</v>
      </c>
      <c r="B15" t="s">
        <v>96</v>
      </c>
    </row>
    <row r="16" spans="1:8" x14ac:dyDescent="0.2">
      <c r="A16" t="s">
        <v>97</v>
      </c>
      <c r="B16" t="s">
        <v>98</v>
      </c>
    </row>
    <row r="17" spans="1:2" x14ac:dyDescent="0.2">
      <c r="A17" t="s">
        <v>99</v>
      </c>
      <c r="B17" t="s">
        <v>100</v>
      </c>
    </row>
    <row r="18" spans="1:2" x14ac:dyDescent="0.2">
      <c r="A18" t="s">
        <v>101</v>
      </c>
      <c r="B18" t="s">
        <v>102</v>
      </c>
    </row>
  </sheetData>
  <pageMargins left="0.75" right="0.75" top="1" bottom="1" header="0.511811023622047" footer="0.511811023622047"/>
  <pageSetup paperSize="9" orientation="portrait" horizontalDpi="300" verticalDpi="300"/>
  <ignoredErrors>
    <ignoredError sqref="A1:AZ1000" numberStoredAsText="1" formula="1" formulaRange="1" unlockedFormula="1" emptyCellReference="1"/>
  </ignoredErrors>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Start Here</vt:lpstr>
      <vt:lpstr>Dashboard</vt:lpstr>
      <vt:lpstr>Settings</vt:lpstr>
      <vt:lpstr>Properties</vt:lpstr>
      <vt:lpstr>Tenants</vt:lpstr>
      <vt:lpstr>Rent Log</vt:lpstr>
      <vt:lpstr>Tenant Ledger</vt:lpstr>
      <vt:lpstr>Expenses</vt:lpstr>
      <vt:lpstr>Mileage</vt:lpstr>
      <vt:lpstr>Schedule E</vt:lpstr>
      <vt:lpstr>Lists</vt:lpstr>
      <vt:lpstr>'Tenant Ledger'!Print_Titles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SAMY</cp:lastModifiedBy>
  <cp:revision>0</cp:revision>
  <dcterms:created xsi:type="dcterms:W3CDTF">2026-10-29T01:34:15Z</dcterms:created>
  <dcterms:modified xsi:type="dcterms:W3CDTF">2026-10-29T01:50:49Z</dcterms:modified>
  <dc:language>en-US</dc:language>
</cp:coreProperties>
</file>